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83DFDB1E-0C0D-4C50-9CCA-5CFF7712D4A5}" xr6:coauthVersionLast="31" xr6:coauthVersionMax="31" xr10:uidLastSave="{00000000-0000-0000-0000-000000000000}"/>
  <bookViews>
    <workbookView xWindow="0" yWindow="0" windowWidth="25200" windowHeight="11775" xr2:uid="{00000000-000D-0000-FFFF-FFFF00000000}"/>
  </bookViews>
  <sheets>
    <sheet name="Exh. JAP-6 Page 1" sheetId="3" r:id="rId1"/>
    <sheet name="Exh. JAP-6 Pages 2-6" sheetId="4" r:id="rId2"/>
    <sheet name="Exh. JAP-6 Pages 7-10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2">0</definedName>
    <definedName name="_Order1" hidden="1">0</definedName>
    <definedName name="_Order2" localSheetId="2">0</definedName>
    <definedName name="_Order2" hidden="1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JAP-6 Page 1'!$B$1:$O$34</definedName>
    <definedName name="_xlnm.Print_Area" localSheetId="1">'Exh. JAP-6 Pages 2-6'!$B$1:$Q$229</definedName>
    <definedName name="_xlnm.Print_Area" localSheetId="2">'Exh. JAP-6 Pages 7-10'!$A$1:$D$139</definedName>
    <definedName name="_xlnm.Print_Titles" localSheetId="1">'Exh. JAP-6 Pages 2-6'!$1:$7</definedName>
    <definedName name="_xlnm.Print_Titles" localSheetId="2">'Exh. JAP-6 Pages 7-10'!$1:$8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'[57]Input Tab'!$B$11</definedName>
    <definedName name="WinterPeak">'[58]Load Data'!$D$9:$H$12,'[58]Load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79017"/>
</workbook>
</file>

<file path=xl/calcChain.xml><?xml version="1.0" encoding="utf-8"?>
<calcChain xmlns="http://schemas.openxmlformats.org/spreadsheetml/2006/main">
  <c r="I46" i="4" l="1"/>
  <c r="I41" i="4" l="1"/>
  <c r="I39" i="4"/>
  <c r="D15" i="3" l="1"/>
  <c r="G9" i="4" l="1"/>
  <c r="I115" i="4" l="1"/>
  <c r="I114" i="4"/>
  <c r="E226" i="4" l="1"/>
  <c r="E225" i="4"/>
  <c r="E224" i="4"/>
  <c r="E223" i="4"/>
  <c r="E222" i="4"/>
  <c r="E221" i="4"/>
  <c r="E220" i="4"/>
  <c r="E219" i="4"/>
  <c r="E218" i="4"/>
  <c r="E209" i="4"/>
  <c r="E204" i="4"/>
  <c r="E203" i="4"/>
  <c r="E202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74" i="4"/>
  <c r="E173" i="4"/>
  <c r="I167" i="4"/>
  <c r="J167" i="4" s="1"/>
  <c r="G167" i="4"/>
  <c r="I166" i="4"/>
  <c r="O166" i="4" s="1"/>
  <c r="D138" i="6" s="1"/>
  <c r="G166" i="4"/>
  <c r="I165" i="4"/>
  <c r="G165" i="4"/>
  <c r="I164" i="4"/>
  <c r="O164" i="4" s="1"/>
  <c r="D136" i="6" s="1"/>
  <c r="G164" i="4"/>
  <c r="I160" i="4"/>
  <c r="G160" i="4"/>
  <c r="I159" i="4"/>
  <c r="O159" i="4" s="1"/>
  <c r="D132" i="6" s="1"/>
  <c r="G159" i="4"/>
  <c r="I158" i="4"/>
  <c r="J158" i="4" s="1"/>
  <c r="G158" i="4"/>
  <c r="I157" i="4"/>
  <c r="O157" i="4" s="1"/>
  <c r="D130" i="6" s="1"/>
  <c r="G157" i="4"/>
  <c r="I156" i="4"/>
  <c r="O156" i="4" s="1"/>
  <c r="D129" i="6" s="1"/>
  <c r="G156" i="4"/>
  <c r="I155" i="4"/>
  <c r="O155" i="4" s="1"/>
  <c r="D128" i="6" s="1"/>
  <c r="G155" i="4"/>
  <c r="I154" i="4"/>
  <c r="J154" i="4" s="1"/>
  <c r="G154" i="4"/>
  <c r="I150" i="4"/>
  <c r="O150" i="4" s="1"/>
  <c r="D124" i="6" s="1"/>
  <c r="G150" i="4"/>
  <c r="I149" i="4"/>
  <c r="G149" i="4"/>
  <c r="I148" i="4"/>
  <c r="G148" i="4"/>
  <c r="I147" i="4"/>
  <c r="O147" i="4" s="1"/>
  <c r="D121" i="6" s="1"/>
  <c r="G147" i="4"/>
  <c r="I146" i="4"/>
  <c r="G146" i="4"/>
  <c r="I145" i="4"/>
  <c r="O145" i="4" s="1"/>
  <c r="D119" i="6" s="1"/>
  <c r="G145" i="4"/>
  <c r="E141" i="4"/>
  <c r="E213" i="4" s="1"/>
  <c r="F140" i="4"/>
  <c r="G140" i="4" s="1"/>
  <c r="G139" i="4"/>
  <c r="F139" i="4"/>
  <c r="F138" i="4"/>
  <c r="G138" i="4" s="1"/>
  <c r="F137" i="4"/>
  <c r="G137" i="4" s="1"/>
  <c r="F136" i="4"/>
  <c r="G136" i="4" s="1"/>
  <c r="F135" i="4"/>
  <c r="G135" i="4" s="1"/>
  <c r="M132" i="4"/>
  <c r="L132" i="4"/>
  <c r="G131" i="4"/>
  <c r="I130" i="4"/>
  <c r="J130" i="4" s="1"/>
  <c r="G130" i="4"/>
  <c r="E126" i="4"/>
  <c r="E208" i="4" s="1"/>
  <c r="I125" i="4"/>
  <c r="O125" i="4" s="1"/>
  <c r="D102" i="6" s="1"/>
  <c r="G125" i="4"/>
  <c r="I124" i="4"/>
  <c r="G124" i="4"/>
  <c r="I123" i="4"/>
  <c r="O123" i="4" s="1"/>
  <c r="D100" i="6" s="1"/>
  <c r="G123" i="4"/>
  <c r="I122" i="4"/>
  <c r="I137" i="4" s="1"/>
  <c r="G122" i="4"/>
  <c r="I121" i="4"/>
  <c r="O121" i="4" s="1"/>
  <c r="D98" i="6" s="1"/>
  <c r="G121" i="4"/>
  <c r="I120" i="4"/>
  <c r="I135" i="4" s="1"/>
  <c r="G120" i="4"/>
  <c r="L117" i="4"/>
  <c r="M117" i="4" s="1"/>
  <c r="I116" i="4"/>
  <c r="O116" i="4" s="1"/>
  <c r="D104" i="6" s="1"/>
  <c r="G115" i="4"/>
  <c r="M115" i="4" s="1"/>
  <c r="J114" i="4"/>
  <c r="G114" i="4"/>
  <c r="E110" i="4"/>
  <c r="E212" i="4" s="1"/>
  <c r="F109" i="4"/>
  <c r="G109" i="4" s="1"/>
  <c r="F108" i="4"/>
  <c r="G108" i="4" s="1"/>
  <c r="L105" i="4"/>
  <c r="M105" i="4" s="1"/>
  <c r="G104" i="4"/>
  <c r="I103" i="4"/>
  <c r="G103" i="4"/>
  <c r="E99" i="4"/>
  <c r="E207" i="4" s="1"/>
  <c r="I98" i="4"/>
  <c r="O98" i="4" s="1"/>
  <c r="D80" i="6" s="1"/>
  <c r="G98" i="4"/>
  <c r="I97" i="4"/>
  <c r="O97" i="4" s="1"/>
  <c r="D79" i="6" s="1"/>
  <c r="G97" i="4"/>
  <c r="L94" i="4"/>
  <c r="M94" i="4" s="1"/>
  <c r="I93" i="4"/>
  <c r="O93" i="4" s="1"/>
  <c r="D82" i="6" s="1"/>
  <c r="I92" i="4"/>
  <c r="I104" i="4" s="1"/>
  <c r="G92" i="4"/>
  <c r="I91" i="4"/>
  <c r="O91" i="4" s="1"/>
  <c r="D75" i="6" s="1"/>
  <c r="G91" i="4"/>
  <c r="E87" i="4"/>
  <c r="E211" i="4" s="1"/>
  <c r="F86" i="4"/>
  <c r="G86" i="4" s="1"/>
  <c r="G85" i="4"/>
  <c r="F85" i="4"/>
  <c r="F84" i="4"/>
  <c r="G84" i="4" s="1"/>
  <c r="L81" i="4"/>
  <c r="M81" i="4" s="1"/>
  <c r="G80" i="4"/>
  <c r="I79" i="4"/>
  <c r="O79" i="4" s="1"/>
  <c r="D66" i="6" s="1"/>
  <c r="G79" i="4"/>
  <c r="E75" i="4"/>
  <c r="I74" i="4"/>
  <c r="I86" i="4" s="1"/>
  <c r="J86" i="4" s="1"/>
  <c r="G74" i="4"/>
  <c r="I73" i="4"/>
  <c r="I85" i="4" s="1"/>
  <c r="J85" i="4" s="1"/>
  <c r="G73" i="4"/>
  <c r="I72" i="4"/>
  <c r="O72" i="4" s="1"/>
  <c r="D59" i="6" s="1"/>
  <c r="G72" i="4"/>
  <c r="L69" i="4"/>
  <c r="M69" i="4" s="1"/>
  <c r="I68" i="4"/>
  <c r="O68" i="4" s="1"/>
  <c r="D63" i="6" s="1"/>
  <c r="I67" i="4"/>
  <c r="G67" i="4"/>
  <c r="I66" i="4"/>
  <c r="O66" i="4" s="1"/>
  <c r="D55" i="6" s="1"/>
  <c r="G66" i="4"/>
  <c r="I62" i="4"/>
  <c r="O62" i="4" s="1"/>
  <c r="E61" i="4"/>
  <c r="E210" i="4" s="1"/>
  <c r="G60" i="4"/>
  <c r="F60" i="4"/>
  <c r="F59" i="4"/>
  <c r="G59" i="4" s="1"/>
  <c r="F58" i="4"/>
  <c r="G55" i="4"/>
  <c r="F54" i="4"/>
  <c r="E54" i="4"/>
  <c r="I53" i="4"/>
  <c r="O53" i="4" s="1"/>
  <c r="D45" i="6" s="1"/>
  <c r="G53" i="4"/>
  <c r="I49" i="4"/>
  <c r="O49" i="4" s="1"/>
  <c r="D42" i="6" s="1"/>
  <c r="E47" i="4"/>
  <c r="J46" i="4"/>
  <c r="G46" i="4"/>
  <c r="I45" i="4"/>
  <c r="G45" i="4"/>
  <c r="O41" i="4"/>
  <c r="D35" i="6" s="1"/>
  <c r="G41" i="4"/>
  <c r="E40" i="4"/>
  <c r="G40" i="4" s="1"/>
  <c r="O39" i="4"/>
  <c r="D33" i="6" s="1"/>
  <c r="G39" i="4"/>
  <c r="I35" i="4"/>
  <c r="O35" i="4" s="1"/>
  <c r="D30" i="6" s="1"/>
  <c r="G35" i="4"/>
  <c r="G36" i="4" s="1"/>
  <c r="M36" i="4" s="1"/>
  <c r="I31" i="4"/>
  <c r="O31" i="4" s="1"/>
  <c r="G31" i="4"/>
  <c r="M31" i="4" s="1"/>
  <c r="G30" i="4"/>
  <c r="I29" i="4"/>
  <c r="J29" i="4" s="1"/>
  <c r="G29" i="4"/>
  <c r="I25" i="4"/>
  <c r="J25" i="4" s="1"/>
  <c r="G25" i="4"/>
  <c r="I24" i="4"/>
  <c r="I30" i="4" s="1"/>
  <c r="O30" i="4" s="1"/>
  <c r="D27" i="6" s="1"/>
  <c r="G24" i="4"/>
  <c r="I23" i="4"/>
  <c r="J23" i="4" s="1"/>
  <c r="G23" i="4"/>
  <c r="E20" i="4"/>
  <c r="E201" i="4" s="1"/>
  <c r="I19" i="4"/>
  <c r="G19" i="4"/>
  <c r="F15" i="4"/>
  <c r="G15" i="4" s="1"/>
  <c r="F14" i="4"/>
  <c r="G14" i="4" s="1"/>
  <c r="I10" i="4"/>
  <c r="O10" i="4" s="1"/>
  <c r="D11" i="6" s="1"/>
  <c r="G10" i="4"/>
  <c r="I9" i="4"/>
  <c r="J9" i="4" s="1"/>
  <c r="D19" i="3"/>
  <c r="E170" i="4"/>
  <c r="E214" i="4" s="1"/>
  <c r="D18" i="3"/>
  <c r="D16" i="3"/>
  <c r="D13" i="3"/>
  <c r="J31" i="4" l="1"/>
  <c r="E93" i="4"/>
  <c r="G93" i="4" s="1"/>
  <c r="G100" i="4" s="1"/>
  <c r="L114" i="4"/>
  <c r="M114" i="4" s="1"/>
  <c r="L167" i="4"/>
  <c r="M167" i="4" s="1"/>
  <c r="E178" i="4"/>
  <c r="E116" i="4"/>
  <c r="G116" i="4" s="1"/>
  <c r="G127" i="4" s="1"/>
  <c r="E177" i="4"/>
  <c r="E227" i="4"/>
  <c r="E176" i="4"/>
  <c r="E68" i="4"/>
  <c r="G68" i="4" s="1"/>
  <c r="G76" i="4" s="1"/>
  <c r="E206" i="4"/>
  <c r="E62" i="4"/>
  <c r="G62" i="4" s="1"/>
  <c r="M62" i="4" s="1"/>
  <c r="E205" i="4"/>
  <c r="E49" i="4"/>
  <c r="G49" i="4" s="1"/>
  <c r="G50" i="4" s="1"/>
  <c r="E175" i="4"/>
  <c r="G26" i="4"/>
  <c r="G16" i="4"/>
  <c r="G11" i="4"/>
  <c r="L9" i="4"/>
  <c r="M9" i="4" s="1"/>
  <c r="O167" i="4"/>
  <c r="D139" i="6" s="1"/>
  <c r="J156" i="4"/>
  <c r="L156" i="4" s="1"/>
  <c r="M156" i="4" s="1"/>
  <c r="E180" i="4"/>
  <c r="J145" i="4"/>
  <c r="L145" i="4" s="1"/>
  <c r="J155" i="4"/>
  <c r="L155" i="4" s="1"/>
  <c r="M155" i="4" s="1"/>
  <c r="J166" i="4"/>
  <c r="L166" i="4" s="1"/>
  <c r="M166" i="4" s="1"/>
  <c r="O154" i="4"/>
  <c r="D127" i="6" s="1"/>
  <c r="J150" i="4"/>
  <c r="L150" i="4" s="1"/>
  <c r="M150" i="4" s="1"/>
  <c r="O158" i="4"/>
  <c r="D131" i="6" s="1"/>
  <c r="J147" i="4"/>
  <c r="L147" i="4" s="1"/>
  <c r="M147" i="4" s="1"/>
  <c r="J159" i="4"/>
  <c r="L159" i="4" s="1"/>
  <c r="M159" i="4" s="1"/>
  <c r="J157" i="4"/>
  <c r="L157" i="4" s="1"/>
  <c r="M157" i="4" s="1"/>
  <c r="J164" i="4"/>
  <c r="O130" i="4"/>
  <c r="D107" i="6" s="1"/>
  <c r="O114" i="4"/>
  <c r="D93" i="6" s="1"/>
  <c r="I136" i="4"/>
  <c r="J136" i="4" s="1"/>
  <c r="L136" i="4" s="1"/>
  <c r="M136" i="4" s="1"/>
  <c r="J120" i="4"/>
  <c r="L120" i="4" s="1"/>
  <c r="M120" i="4" s="1"/>
  <c r="J121" i="4"/>
  <c r="L121" i="4" s="1"/>
  <c r="M121" i="4" s="1"/>
  <c r="J122" i="4"/>
  <c r="L122" i="4" s="1"/>
  <c r="M122" i="4" s="1"/>
  <c r="J123" i="4"/>
  <c r="L123" i="4" s="1"/>
  <c r="M123" i="4" s="1"/>
  <c r="O120" i="4"/>
  <c r="D97" i="6" s="1"/>
  <c r="O122" i="4"/>
  <c r="D99" i="6" s="1"/>
  <c r="J125" i="4"/>
  <c r="L125" i="4" s="1"/>
  <c r="M125" i="4" s="1"/>
  <c r="I138" i="4"/>
  <c r="J138" i="4" s="1"/>
  <c r="L138" i="4" s="1"/>
  <c r="M138" i="4" s="1"/>
  <c r="I140" i="4"/>
  <c r="J140" i="4" s="1"/>
  <c r="L140" i="4" s="1"/>
  <c r="M140" i="4" s="1"/>
  <c r="J91" i="4"/>
  <c r="L91" i="4" s="1"/>
  <c r="M91" i="4" s="1"/>
  <c r="J93" i="4"/>
  <c r="L93" i="4" s="1"/>
  <c r="M93" i="4" s="1"/>
  <c r="I108" i="4"/>
  <c r="J108" i="4" s="1"/>
  <c r="L108" i="4" s="1"/>
  <c r="M108" i="4" s="1"/>
  <c r="J92" i="4"/>
  <c r="J97" i="4"/>
  <c r="L97" i="4" s="1"/>
  <c r="M97" i="4" s="1"/>
  <c r="I84" i="4"/>
  <c r="O84" i="4" s="1"/>
  <c r="D70" i="6" s="1"/>
  <c r="J72" i="4"/>
  <c r="L72" i="4" s="1"/>
  <c r="M72" i="4" s="1"/>
  <c r="J73" i="4"/>
  <c r="L73" i="4" s="1"/>
  <c r="M73" i="4" s="1"/>
  <c r="J74" i="4"/>
  <c r="L74" i="4" s="1"/>
  <c r="M74" i="4" s="1"/>
  <c r="J66" i="4"/>
  <c r="L66" i="4" s="1"/>
  <c r="M66" i="4" s="1"/>
  <c r="J41" i="4"/>
  <c r="L41" i="4" s="1"/>
  <c r="M41" i="4" s="1"/>
  <c r="J39" i="4"/>
  <c r="O46" i="4"/>
  <c r="D40" i="6" s="1"/>
  <c r="I60" i="4"/>
  <c r="O60" i="4" s="1"/>
  <c r="D52" i="6" s="1"/>
  <c r="L46" i="4"/>
  <c r="M46" i="4" s="1"/>
  <c r="J53" i="4"/>
  <c r="L53" i="4" s="1"/>
  <c r="M53" i="4" s="1"/>
  <c r="I55" i="4"/>
  <c r="O25" i="4"/>
  <c r="D23" i="6" s="1"/>
  <c r="J35" i="4"/>
  <c r="J36" i="4" s="1"/>
  <c r="L36" i="4" s="1"/>
  <c r="O29" i="4"/>
  <c r="D26" i="6" s="1"/>
  <c r="O23" i="4"/>
  <c r="D21" i="6" s="1"/>
  <c r="J24" i="4"/>
  <c r="J26" i="4" s="1"/>
  <c r="J10" i="4"/>
  <c r="L10" i="4" s="1"/>
  <c r="M10" i="4" s="1"/>
  <c r="I15" i="4"/>
  <c r="O15" i="4" s="1"/>
  <c r="D15" i="6" s="1"/>
  <c r="O135" i="4"/>
  <c r="D111" i="6" s="1"/>
  <c r="J135" i="4"/>
  <c r="L135" i="4" s="1"/>
  <c r="M135" i="4" s="1"/>
  <c r="C20" i="3"/>
  <c r="C23" i="3" s="1"/>
  <c r="G54" i="4"/>
  <c r="D12" i="3"/>
  <c r="E20" i="3"/>
  <c r="E23" i="3" s="1"/>
  <c r="N22" i="3"/>
  <c r="D22" i="3"/>
  <c r="M22" i="3" s="1"/>
  <c r="G181" i="4"/>
  <c r="K22" i="3"/>
  <c r="G161" i="4"/>
  <c r="M35" i="4"/>
  <c r="L85" i="4"/>
  <c r="M85" i="4" s="1"/>
  <c r="G88" i="4"/>
  <c r="I139" i="4"/>
  <c r="O124" i="4"/>
  <c r="D101" i="6" s="1"/>
  <c r="J124" i="4"/>
  <c r="L124" i="4" s="1"/>
  <c r="M124" i="4" s="1"/>
  <c r="F20" i="3"/>
  <c r="G170" i="4"/>
  <c r="J19" i="3"/>
  <c r="J19" i="4"/>
  <c r="L19" i="4" s="1"/>
  <c r="M19" i="4" s="1"/>
  <c r="O19" i="4"/>
  <c r="D18" i="6" s="1"/>
  <c r="G32" i="4"/>
  <c r="D14" i="3"/>
  <c r="J170" i="4"/>
  <c r="L19" i="3"/>
  <c r="L25" i="4"/>
  <c r="M25" i="4" s="1"/>
  <c r="L29" i="4"/>
  <c r="M29" i="4" s="1"/>
  <c r="J79" i="4"/>
  <c r="O86" i="4"/>
  <c r="D72" i="6" s="1"/>
  <c r="J103" i="4"/>
  <c r="O103" i="4"/>
  <c r="D85" i="6" s="1"/>
  <c r="G142" i="4"/>
  <c r="L130" i="4"/>
  <c r="M130" i="4" s="1"/>
  <c r="J149" i="4"/>
  <c r="L149" i="4" s="1"/>
  <c r="M149" i="4" s="1"/>
  <c r="O149" i="4"/>
  <c r="D123" i="6" s="1"/>
  <c r="G168" i="4"/>
  <c r="J165" i="4"/>
  <c r="L165" i="4" s="1"/>
  <c r="M165" i="4" s="1"/>
  <c r="O165" i="4"/>
  <c r="D137" i="6" s="1"/>
  <c r="I59" i="4"/>
  <c r="I40" i="4"/>
  <c r="J45" i="4"/>
  <c r="L45" i="4" s="1"/>
  <c r="M45" i="4" s="1"/>
  <c r="I44" i="4"/>
  <c r="I80" i="4"/>
  <c r="J67" i="4"/>
  <c r="L67" i="4" s="1"/>
  <c r="M67" i="4" s="1"/>
  <c r="O67" i="4"/>
  <c r="D56" i="6" s="1"/>
  <c r="L86" i="4"/>
  <c r="M86" i="4" s="1"/>
  <c r="G151" i="4"/>
  <c r="O160" i="4"/>
  <c r="D133" i="6" s="1"/>
  <c r="J160" i="4"/>
  <c r="L160" i="4" s="1"/>
  <c r="M160" i="4" s="1"/>
  <c r="O45" i="4"/>
  <c r="D39" i="6" s="1"/>
  <c r="J49" i="4"/>
  <c r="L49" i="4" s="1"/>
  <c r="M49" i="4" s="1"/>
  <c r="G111" i="4"/>
  <c r="O115" i="4"/>
  <c r="D94" i="6" s="1"/>
  <c r="I131" i="4"/>
  <c r="J115" i="4"/>
  <c r="J146" i="4"/>
  <c r="L146" i="4" s="1"/>
  <c r="M146" i="4" s="1"/>
  <c r="O146" i="4"/>
  <c r="D120" i="6" s="1"/>
  <c r="L158" i="4"/>
  <c r="M158" i="4" s="1"/>
  <c r="D17" i="3"/>
  <c r="O9" i="4"/>
  <c r="D10" i="6" s="1"/>
  <c r="J30" i="4"/>
  <c r="L30" i="4" s="1"/>
  <c r="M30" i="4" s="1"/>
  <c r="O73" i="4"/>
  <c r="D60" i="6" s="1"/>
  <c r="O104" i="4"/>
  <c r="D86" i="6" s="1"/>
  <c r="J104" i="4"/>
  <c r="L104" i="4" s="1"/>
  <c r="M104" i="4" s="1"/>
  <c r="I109" i="4"/>
  <c r="J98" i="4"/>
  <c r="L98" i="4" s="1"/>
  <c r="M98" i="4" s="1"/>
  <c r="J148" i="4"/>
  <c r="L148" i="4" s="1"/>
  <c r="M148" i="4" s="1"/>
  <c r="O148" i="4"/>
  <c r="D122" i="6" s="1"/>
  <c r="L154" i="4"/>
  <c r="I14" i="4"/>
  <c r="L23" i="4"/>
  <c r="M23" i="4" s="1"/>
  <c r="L31" i="4"/>
  <c r="O85" i="4"/>
  <c r="D71" i="6" s="1"/>
  <c r="O24" i="4"/>
  <c r="D22" i="6" s="1"/>
  <c r="O74" i="4"/>
  <c r="D61" i="6" s="1"/>
  <c r="O137" i="4"/>
  <c r="D113" i="6" s="1"/>
  <c r="J137" i="4"/>
  <c r="L137" i="4" s="1"/>
  <c r="M137" i="4" s="1"/>
  <c r="E198" i="4"/>
  <c r="O92" i="4"/>
  <c r="D76" i="6" s="1"/>
  <c r="G12" i="3" l="1"/>
  <c r="G13" i="3"/>
  <c r="J15" i="4"/>
  <c r="L15" i="4" s="1"/>
  <c r="M15" i="4" s="1"/>
  <c r="L35" i="4"/>
  <c r="J62" i="4"/>
  <c r="L62" i="4" s="1"/>
  <c r="J116" i="4"/>
  <c r="L116" i="4" s="1"/>
  <c r="M116" i="4" s="1"/>
  <c r="J11" i="4"/>
  <c r="G173" i="4"/>
  <c r="E215" i="4"/>
  <c r="E234" i="4" s="1"/>
  <c r="E182" i="4"/>
  <c r="J68" i="4"/>
  <c r="L68" i="4" s="1"/>
  <c r="M68" i="4" s="1"/>
  <c r="L11" i="4"/>
  <c r="M11" i="4" s="1"/>
  <c r="L39" i="4"/>
  <c r="M39" i="4" s="1"/>
  <c r="L24" i="4"/>
  <c r="M24" i="4" s="1"/>
  <c r="M19" i="3"/>
  <c r="O108" i="4"/>
  <c r="D89" i="6" s="1"/>
  <c r="O136" i="4"/>
  <c r="D112" i="6" s="1"/>
  <c r="J168" i="4"/>
  <c r="L164" i="4"/>
  <c r="M164" i="4" s="1"/>
  <c r="L151" i="4"/>
  <c r="M151" i="4" s="1"/>
  <c r="J151" i="4"/>
  <c r="O138" i="4"/>
  <c r="D114" i="6" s="1"/>
  <c r="O140" i="4"/>
  <c r="D116" i="6" s="1"/>
  <c r="J100" i="4"/>
  <c r="L100" i="4" s="1"/>
  <c r="L92" i="4"/>
  <c r="M92" i="4" s="1"/>
  <c r="J84" i="4"/>
  <c r="L84" i="4" s="1"/>
  <c r="M84" i="4" s="1"/>
  <c r="J76" i="4"/>
  <c r="J60" i="4"/>
  <c r="L60" i="4" s="1"/>
  <c r="M60" i="4" s="1"/>
  <c r="O55" i="4"/>
  <c r="D47" i="6" s="1"/>
  <c r="J55" i="4"/>
  <c r="L55" i="4" s="1"/>
  <c r="M55" i="4" s="1"/>
  <c r="O109" i="4"/>
  <c r="D90" i="6" s="1"/>
  <c r="J109" i="4"/>
  <c r="L109" i="4" s="1"/>
  <c r="M109" i="4" s="1"/>
  <c r="M145" i="4"/>
  <c r="L103" i="4"/>
  <c r="M103" i="4" s="1"/>
  <c r="L161" i="4"/>
  <c r="M161" i="4" s="1"/>
  <c r="L115" i="4"/>
  <c r="I58" i="4"/>
  <c r="O58" i="4" s="1"/>
  <c r="D50" i="6" s="1"/>
  <c r="O44" i="4"/>
  <c r="D38" i="6" s="1"/>
  <c r="J32" i="4"/>
  <c r="L32" i="4" s="1"/>
  <c r="M32" i="4" s="1"/>
  <c r="J180" i="4"/>
  <c r="L170" i="4"/>
  <c r="M170" i="4" s="1"/>
  <c r="F23" i="3"/>
  <c r="G18" i="3"/>
  <c r="G17" i="3"/>
  <c r="G16" i="3"/>
  <c r="J181" i="4"/>
  <c r="L181" i="4" s="1"/>
  <c r="M181" i="4" s="1"/>
  <c r="G15" i="3"/>
  <c r="L26" i="4"/>
  <c r="G63" i="4"/>
  <c r="J161" i="4"/>
  <c r="O131" i="4"/>
  <c r="D108" i="6" s="1"/>
  <c r="J131" i="4"/>
  <c r="G174" i="4"/>
  <c r="L79" i="4"/>
  <c r="M79" i="4" s="1"/>
  <c r="J139" i="4"/>
  <c r="L139" i="4" s="1"/>
  <c r="M139" i="4" s="1"/>
  <c r="O139" i="4"/>
  <c r="D115" i="6" s="1"/>
  <c r="O14" i="4"/>
  <c r="D14" i="6" s="1"/>
  <c r="J14" i="4"/>
  <c r="O80" i="4"/>
  <c r="D67" i="6" s="1"/>
  <c r="J80" i="4"/>
  <c r="L80" i="4" s="1"/>
  <c r="M80" i="4" s="1"/>
  <c r="O59" i="4"/>
  <c r="D51" i="6" s="1"/>
  <c r="J59" i="4"/>
  <c r="L59" i="4" s="1"/>
  <c r="M59" i="4" s="1"/>
  <c r="N19" i="3"/>
  <c r="G180" i="4"/>
  <c r="G178" i="4"/>
  <c r="G177" i="4"/>
  <c r="G179" i="4"/>
  <c r="I54" i="4"/>
  <c r="O40" i="4"/>
  <c r="D34" i="6" s="1"/>
  <c r="J40" i="4"/>
  <c r="J50" i="4" s="1"/>
  <c r="M154" i="4"/>
  <c r="G176" i="4"/>
  <c r="D20" i="3"/>
  <c r="D23" i="3" s="1"/>
  <c r="G14" i="3"/>
  <c r="L76" i="4" l="1"/>
  <c r="M76" i="4" s="1"/>
  <c r="J127" i="4"/>
  <c r="J174" i="4"/>
  <c r="L174" i="4" s="1"/>
  <c r="M174" i="4" s="1"/>
  <c r="J27" i="3"/>
  <c r="G20" i="3"/>
  <c r="L180" i="4"/>
  <c r="M180" i="4" s="1"/>
  <c r="L168" i="4"/>
  <c r="M168" i="4" s="1"/>
  <c r="J179" i="4"/>
  <c r="L179" i="4" s="1"/>
  <c r="M179" i="4" s="1"/>
  <c r="M100" i="4"/>
  <c r="L40" i="4"/>
  <c r="M40" i="4" s="1"/>
  <c r="L14" i="4"/>
  <c r="M14" i="4" s="1"/>
  <c r="J16" i="4"/>
  <c r="M26" i="4"/>
  <c r="L127" i="4"/>
  <c r="J88" i="4"/>
  <c r="J176" i="4" s="1"/>
  <c r="L131" i="4"/>
  <c r="M131" i="4" s="1"/>
  <c r="J142" i="4"/>
  <c r="L142" i="4" s="1"/>
  <c r="M142" i="4" s="1"/>
  <c r="G175" i="4"/>
  <c r="J111" i="4"/>
  <c r="O54" i="4"/>
  <c r="D46" i="6" s="1"/>
  <c r="J54" i="4"/>
  <c r="K13" i="3" l="1"/>
  <c r="L13" i="3" s="1"/>
  <c r="M13" i="3" s="1"/>
  <c r="J178" i="4"/>
  <c r="L178" i="4" s="1"/>
  <c r="M178" i="4" s="1"/>
  <c r="K18" i="3"/>
  <c r="L18" i="3" s="1"/>
  <c r="N18" i="3" s="1"/>
  <c r="G182" i="4"/>
  <c r="M127" i="4"/>
  <c r="L111" i="4"/>
  <c r="J177" i="4"/>
  <c r="L50" i="4"/>
  <c r="L88" i="4"/>
  <c r="L54" i="4"/>
  <c r="M54" i="4" s="1"/>
  <c r="J63" i="4"/>
  <c r="L63" i="4" s="1"/>
  <c r="M63" i="4" s="1"/>
  <c r="L16" i="4"/>
  <c r="J173" i="4"/>
  <c r="N13" i="3" l="1"/>
  <c r="K17" i="3"/>
  <c r="L17" i="3" s="1"/>
  <c r="M18" i="3"/>
  <c r="M16" i="4"/>
  <c r="M88" i="4"/>
  <c r="M50" i="4"/>
  <c r="J175" i="4"/>
  <c r="G234" i="4"/>
  <c r="K16" i="3"/>
  <c r="L16" i="3" s="1"/>
  <c r="L177" i="4"/>
  <c r="M177" i="4" s="1"/>
  <c r="L173" i="4"/>
  <c r="M173" i="4" s="1"/>
  <c r="K12" i="3"/>
  <c r="L176" i="4"/>
  <c r="M176" i="4" s="1"/>
  <c r="K15" i="3"/>
  <c r="L15" i="3" s="1"/>
  <c r="M111" i="4"/>
  <c r="M17" i="3" l="1"/>
  <c r="N17" i="3"/>
  <c r="L175" i="4"/>
  <c r="M175" i="4" s="1"/>
  <c r="K14" i="3"/>
  <c r="L14" i="3" s="1"/>
  <c r="L12" i="3"/>
  <c r="M16" i="3"/>
  <c r="N16" i="3"/>
  <c r="J182" i="4"/>
  <c r="M15" i="3"/>
  <c r="N15" i="3"/>
  <c r="L20" i="3" l="1"/>
  <c r="M12" i="3"/>
  <c r="N12" i="3"/>
  <c r="M14" i="3"/>
  <c r="N14" i="3"/>
  <c r="L182" i="4"/>
  <c r="M182" i="4" s="1"/>
  <c r="K20" i="3"/>
  <c r="K23" i="3" s="1"/>
  <c r="J234" i="4" s="1"/>
  <c r="M20" i="3" l="1"/>
  <c r="L23" i="3"/>
  <c r="N20" i="3"/>
  <c r="M23" i="3" l="1"/>
  <c r="N23" i="3"/>
  <c r="J26" i="3" l="1"/>
  <c r="I15" i="3" l="1"/>
  <c r="J15" i="3" s="1"/>
  <c r="I12" i="3"/>
  <c r="J12" i="3" s="1"/>
  <c r="I14" i="3"/>
  <c r="J14" i="3" s="1"/>
  <c r="I13" i="3"/>
  <c r="J13" i="3" s="1"/>
  <c r="I16" i="3"/>
  <c r="J16" i="3" s="1"/>
  <c r="I17" i="3"/>
  <c r="J17" i="3" s="1"/>
  <c r="I18" i="3"/>
  <c r="J18" i="3" s="1"/>
  <c r="Q24" i="4" l="1"/>
  <c r="Q27" i="4" s="1"/>
  <c r="O13" i="3"/>
  <c r="O18" i="3"/>
  <c r="Q146" i="4"/>
  <c r="Q148" i="4" s="1"/>
  <c r="Q40" i="4"/>
  <c r="Q42" i="4" s="1"/>
  <c r="O14" i="3"/>
  <c r="Q115" i="4"/>
  <c r="Q117" i="4" s="1"/>
  <c r="O17" i="3"/>
  <c r="O12" i="3"/>
  <c r="Q10" i="4"/>
  <c r="Q12" i="4" s="1"/>
  <c r="J20" i="3"/>
  <c r="J23" i="3" s="1"/>
  <c r="Q92" i="4"/>
  <c r="Q94" i="4" s="1"/>
  <c r="O16" i="3"/>
  <c r="O15" i="3"/>
  <c r="Q67" i="4"/>
  <c r="Q69" i="4" s="1"/>
  <c r="O20" i="3" l="1"/>
  <c r="O23" i="3" s="1"/>
</calcChain>
</file>

<file path=xl/sharedStrings.xml><?xml version="1.0" encoding="utf-8"?>
<sst xmlns="http://schemas.openxmlformats.org/spreadsheetml/2006/main" count="607" uniqueCount="194">
  <si>
    <t>Puget Sound Energy</t>
  </si>
  <si>
    <t>Calculated</t>
  </si>
  <si>
    <t>Change in</t>
  </si>
  <si>
    <t>Over</t>
  </si>
  <si>
    <t>Normalized</t>
  </si>
  <si>
    <t>Margin</t>
  </si>
  <si>
    <t>Percent</t>
  </si>
  <si>
    <t>(Under)</t>
  </si>
  <si>
    <t>Volume</t>
  </si>
  <si>
    <t xml:space="preserve">Margin </t>
  </si>
  <si>
    <t>Target</t>
  </si>
  <si>
    <t>Rate Class</t>
  </si>
  <si>
    <t>(Therms) (1)</t>
  </si>
  <si>
    <t>Revenue</t>
  </si>
  <si>
    <t>Increase</t>
  </si>
  <si>
    <t>Spread</t>
  </si>
  <si>
    <t>A</t>
  </si>
  <si>
    <t>B</t>
  </si>
  <si>
    <t>Residential (16,23,53)</t>
  </si>
  <si>
    <t>Commercial &amp; Industrial (31,31T,61)</t>
  </si>
  <si>
    <t>Large Volume (41,41T)</t>
  </si>
  <si>
    <t>Interruptible (85, 85T)</t>
  </si>
  <si>
    <t>Limited Interruptible (86, 86T)</t>
  </si>
  <si>
    <t>Non-exclusive Interruptible (87,87T)</t>
  </si>
  <si>
    <t>Rentals (71,72,74)</t>
  </si>
  <si>
    <t>Contracts</t>
  </si>
  <si>
    <t>Subtotal Revenue from Rates</t>
  </si>
  <si>
    <t>Other Revenue</t>
  </si>
  <si>
    <t>Total</t>
  </si>
  <si>
    <t xml:space="preserve"> </t>
  </si>
  <si>
    <t xml:space="preserve">Billing </t>
  </si>
  <si>
    <t>Description</t>
  </si>
  <si>
    <t>Units</t>
  </si>
  <si>
    <t>Determinants</t>
  </si>
  <si>
    <t>Rates</t>
  </si>
  <si>
    <t>Revenues</t>
  </si>
  <si>
    <t>Schedule 23 Residential</t>
  </si>
  <si>
    <t>Basic Charge</t>
  </si>
  <si>
    <t>Bills</t>
  </si>
  <si>
    <t>Delivery Charge</t>
  </si>
  <si>
    <t>Therms</t>
  </si>
  <si>
    <t>Total Margin Revenue</t>
  </si>
  <si>
    <t>Schedule 53 Residential Propane</t>
  </si>
  <si>
    <t>Schedule 16 Gas Lights</t>
  </si>
  <si>
    <t>Mantles</t>
  </si>
  <si>
    <t>Schedule 31 Commercial &amp; Industrial - Sales</t>
  </si>
  <si>
    <t>Schedule 31 Commercial &amp; Industrial - Transportation</t>
  </si>
  <si>
    <t>Procurement Charge</t>
  </si>
  <si>
    <t>Schedule 61 Standby &amp; Auxiliary Heating</t>
  </si>
  <si>
    <t>Demand</t>
  </si>
  <si>
    <t>Schedule 41 Large Volume High Load Factor - Sales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</si>
  <si>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</si>
  <si>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</si>
  <si>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</si>
  <si>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</si>
  <si>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</si>
  <si>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</si>
  <si>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</si>
  <si>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</si>
  <si>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Large Volume High Load Factor - Transportation</t>
  </si>
  <si>
    <t>Schedule 85 Interruptible - Sales</t>
  </si>
  <si>
    <t>Minimum Bills</t>
  </si>
  <si>
    <t>First 25,000 Therms</t>
  </si>
  <si>
    <t>Next 25,000 Therms</t>
  </si>
  <si>
    <t>All over 50,000 Therms</t>
  </si>
  <si>
    <t>Schedule 85 Interruptible - Transportation</t>
  </si>
  <si>
    <t>Next 50,000 Therms</t>
  </si>
  <si>
    <t>Schedule 86 Limited Interruptible - Sales</t>
  </si>
  <si>
    <t>First 1,000 therms</t>
  </si>
  <si>
    <t>All over 1,000 therms</t>
  </si>
  <si>
    <t>Schedule 86 Limited Interruptible - Transportation</t>
  </si>
  <si>
    <t>Schedule 87 Non-exclusive Interruptible - Sales</t>
  </si>
  <si>
    <t>Next 100,000 therms</t>
  </si>
  <si>
    <t>Next 300,000 therms</t>
  </si>
  <si>
    <t>All over 500,000 therms</t>
  </si>
  <si>
    <t>Schedule 87 Non-exclusive Interruptible - Transportation</t>
  </si>
  <si>
    <t>Schedule 71 - Residential Water Heater Rental Service</t>
  </si>
  <si>
    <t>71G-A</t>
  </si>
  <si>
    <t xml:space="preserve">Standard Models 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</si>
  <si>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</si>
  <si>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</si>
  <si>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</si>
  <si>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</si>
  <si>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</si>
  <si>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</si>
  <si>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</si>
  <si>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</si>
  <si>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</si>
  <si>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</si>
  <si>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Schedule 72 - Large Volume Water Heater Rental Service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</si>
  <si>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</si>
  <si>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</si>
  <si>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</si>
  <si>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</si>
  <si>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</si>
  <si>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</si>
  <si>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</si>
  <si>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</si>
  <si>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</si>
  <si>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</si>
  <si>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</si>
  <si>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</si>
  <si>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</si>
  <si>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</si>
  <si>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Schedule 74 - Gas Conversion Burner Rental Service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</si>
  <si>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</si>
  <si>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</si>
  <si>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</si>
  <si>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</si>
  <si>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</si>
  <si>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</si>
  <si>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</si>
  <si>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</si>
  <si>
    <t>Total Therms and Margin Revenue By Rate Class</t>
  </si>
  <si>
    <t>Rentals</t>
  </si>
  <si>
    <t xml:space="preserve">Total  </t>
  </si>
  <si>
    <t>Summary of Billing Determinants</t>
  </si>
  <si>
    <t>Bills (basic charges) by rate schedule (1)</t>
  </si>
  <si>
    <t xml:space="preserve">Residential </t>
  </si>
  <si>
    <t>Residential propane</t>
  </si>
  <si>
    <t>Commercial &amp; industrial</t>
  </si>
  <si>
    <t>Large volume</t>
  </si>
  <si>
    <t xml:space="preserve">Interruptible </t>
  </si>
  <si>
    <t>Limited interruptible</t>
  </si>
  <si>
    <t>Non exclusive interruptible</t>
  </si>
  <si>
    <t xml:space="preserve">Transportation - large volume </t>
  </si>
  <si>
    <t>41T</t>
  </si>
  <si>
    <t>Transportation - interrupt with firm option</t>
  </si>
  <si>
    <t>85T</t>
  </si>
  <si>
    <t>Transportation - limited interrupt with firm option</t>
  </si>
  <si>
    <t>86T</t>
  </si>
  <si>
    <t xml:space="preserve">Transportation - non-exclus inter/firm option </t>
  </si>
  <si>
    <t>87T</t>
  </si>
  <si>
    <t>Total bills (Basic charges)</t>
  </si>
  <si>
    <t>Volume (therms) by rate schedule</t>
  </si>
  <si>
    <t xml:space="preserve">Residential gas lights </t>
  </si>
  <si>
    <t>Total volume (sales and transportation)</t>
  </si>
  <si>
    <t>Billed demand by rate schedule (1)</t>
  </si>
  <si>
    <t>Standby &amp; auxiliary heating</t>
  </si>
  <si>
    <t xml:space="preserve">Transportation - limited interrupt with firm option </t>
  </si>
  <si>
    <t>(1) Total bills and billed demand from contracts are not included.</t>
  </si>
  <si>
    <t>Percent of</t>
  </si>
  <si>
    <t>Margin Less</t>
  </si>
  <si>
    <t>Uniform</t>
  </si>
  <si>
    <t>Proposed</t>
  </si>
  <si>
    <t>Increase Less</t>
  </si>
  <si>
    <t>of Total</t>
  </si>
  <si>
    <t>as Percent</t>
  </si>
  <si>
    <t>at Existing</t>
  </si>
  <si>
    <t>Change</t>
  </si>
  <si>
    <t>Proposed Increase (Decrease)</t>
  </si>
  <si>
    <t>over(under)</t>
  </si>
  <si>
    <t>target</t>
  </si>
  <si>
    <t>change</t>
  </si>
  <si>
    <t>Average Increase on Margin After Contracts</t>
  </si>
  <si>
    <t>Adjustment to Increase for Unequal Allocation</t>
  </si>
  <si>
    <t>of Margin</t>
  </si>
  <si>
    <t>Gas</t>
  </si>
  <si>
    <t>Rates (2)</t>
  </si>
  <si>
    <t>target 23/53/16</t>
  </si>
  <si>
    <t>target 31/31T/61</t>
  </si>
  <si>
    <t>target 41/41T</t>
  </si>
  <si>
    <t>Check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</si>
  <si>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</si>
  <si>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</si>
  <si>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</si>
  <si>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</si>
  <si>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</si>
  <si>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</si>
  <si>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</si>
  <si>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</si>
  <si>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</si>
  <si>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</si>
  <si>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</si>
  <si>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</si>
  <si>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Proposed ERF</t>
  </si>
  <si>
    <t>Adjusting Rates</t>
  </si>
  <si>
    <t xml:space="preserve">Revenue </t>
  </si>
  <si>
    <t>Rates (3)</t>
  </si>
  <si>
    <t>at UG-180283</t>
  </si>
  <si>
    <t>Development of Schedule 141 ERF Rates</t>
  </si>
  <si>
    <t>Current</t>
  </si>
  <si>
    <t>Transportation - Commercial &amp; Industrial</t>
  </si>
  <si>
    <t>31T</t>
  </si>
  <si>
    <t>2018 Gas Expedited Rate Filing (ERF)</t>
  </si>
  <si>
    <t>Revenue (4)</t>
  </si>
  <si>
    <t>Test Year Ended June 30, 2018</t>
  </si>
  <si>
    <t>(1) Volume for the test year ended June 30, 2018 reflecting restating and weather normalization adjustments.</t>
  </si>
  <si>
    <t>(3) Margin Revenue based on test year ended June 30, 2018 volume priced at current UG-180283 (Tax Reform) rates effective May 1, 2018.</t>
  </si>
  <si>
    <t>Schedule 141</t>
  </si>
  <si>
    <t>Summary of Schedule 141 Rates</t>
  </si>
  <si>
    <t>Allocation of Revenue Change to Rate Classes</t>
  </si>
  <si>
    <t>(4) Margin Revenue and Rates adjusted for all rate classes to limit percent of total revenue rates impacts below 3%.</t>
  </si>
  <si>
    <t>(2) Gas revenue based on test year ended June 30, 2018 volume priced at current Purchased Gas Adjustment rates (Schedule 101) effective November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</si>
</sst>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&quot;$&quot;#,##0\ ;\(&quot;$&quot;#,##0\)"/>
    <numFmt numFmtId="167" formatCode="&quot;$&quot;#,##0.00000"/>
    <numFmt numFmtId="168" formatCode="&quot;$&quot;#,##0.00\ ;\(&quot;$&quot;#,##0.00\)"/>
    <numFmt numFmtId="169" formatCode="&quot;$&quot;#,##0.00000\ ;\(&quot;$&quot;#,##0.00000\)"/>
    <numFmt numFmtId="170" formatCode="&quot;$&quot;#,##0.0000\ ;\(&quot;$&quot;#,##0.0000\)"/>
    <numFmt numFmtId="171" formatCode="_(&quot;$&quot;* #,##0.00000_);_(&quot;$&quot;* \(#,##0.00000\);_(&quot;$&quot;* &quot;-&quot;??_);_(@_)"/>
    <numFmt numFmtId="172" formatCode="_(* #,##0_);_(* \(#,##0\);_(* &quot;-&quot;??_);_(@_)"/>
    <numFmt numFmtId="173" formatCode="00000"/>
    <numFmt numFmtId="174" formatCode="#,##0.00000000000;[Red]\-#,##0.00000000000"/>
    <numFmt numFmtId="175" formatCode="_(&quot;$&quot;* #,##0.0000_);_(&quot;$&quot;* \(#,##0.0000\);_(&quot;$&quot;* &quot;-&quot;????_);_(@_)"/>
    <numFmt numFmtId="176" formatCode="0.000000"/>
    <numFmt numFmtId="177" formatCode="&quot;$&quot;#,##0.00"/>
    <numFmt numFmtId="178" formatCode="#,##0.000_);\(#,##0.000\)"/>
    <numFmt numFmtId="179" formatCode="&quot;$&quot;#,##0.00000_);\(&quot;$&quot;#,##0.00000\)"/>
    <numFmt numFmtId="180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Alignment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2" borderId="0"/>
    <xf numFmtId="41" fontId="3" fillId="2" borderId="0"/>
    <xf numFmtId="4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/>
    <xf numFmtId="173" fontId="3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3" applyNumberFormat="0" applyBorder="0" applyAlignment="0" applyProtection="0"/>
    <xf numFmtId="44" fontId="10" fillId="0" borderId="4" applyNumberFormat="0" applyFont="0" applyAlignment="0">
      <alignment horizontal="center"/>
    </xf>
    <xf numFmtId="44" fontId="10" fillId="0" borderId="5" applyNumberFormat="0" applyFont="0" applyAlignment="0">
      <alignment horizontal="center"/>
    </xf>
    <xf numFmtId="174" fontId="3" fillId="0" borderId="0"/>
    <xf numFmtId="174" fontId="3" fillId="0" borderId="0"/>
    <xf numFmtId="0" fontId="3" fillId="0" borderId="0"/>
    <xf numFmtId="0" fontId="5" fillId="0" borderId="0"/>
    <xf numFmtId="0" fontId="5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2" borderId="0"/>
    <xf numFmtId="0" fontId="5" fillId="4" borderId="0"/>
    <xf numFmtId="0" fontId="11" fillId="4" borderId="6"/>
    <xf numFmtId="0" fontId="12" fillId="5" borderId="7"/>
    <xf numFmtId="0" fontId="13" fillId="4" borderId="8"/>
    <xf numFmtId="42" fontId="14" fillId="6" borderId="9">
      <alignment vertical="center"/>
    </xf>
    <xf numFmtId="0" fontId="10" fillId="2" borderId="1" applyNumberFormat="0">
      <alignment horizontal="center" vertical="center" wrapText="1"/>
    </xf>
    <xf numFmtId="175" fontId="3" fillId="2" borderId="0"/>
    <xf numFmtId="175" fontId="3" fillId="2" borderId="0"/>
    <xf numFmtId="42" fontId="15" fillId="2" borderId="2">
      <alignment horizontal="left"/>
    </xf>
    <xf numFmtId="38" fontId="6" fillId="0" borderId="10"/>
    <xf numFmtId="38" fontId="9" fillId="0" borderId="2"/>
    <xf numFmtId="176" fontId="3" fillId="0" borderId="0">
      <alignment horizontal="left" wrapText="1"/>
    </xf>
    <xf numFmtId="176" fontId="3" fillId="0" borderId="0">
      <alignment horizontal="left" wrapText="1"/>
    </xf>
    <xf numFmtId="0" fontId="5" fillId="0" borderId="0"/>
    <xf numFmtId="0" fontId="11" fillId="4" borderId="0"/>
    <xf numFmtId="177" fontId="16" fillId="0" borderId="0">
      <alignment horizontal="left" vertical="center"/>
    </xf>
    <xf numFmtId="0" fontId="10" fillId="2" borderId="0">
      <alignment horizontal="left" wrapText="1"/>
    </xf>
    <xf numFmtId="0" fontId="17" fillId="0" borderId="0">
      <alignment horizontal="left" vertical="center"/>
    </xf>
    <xf numFmtId="0" fontId="3" fillId="0" borderId="11" applyNumberFormat="0" applyFont="0" applyFill="0" applyAlignment="0" applyProtection="0"/>
    <xf numFmtId="0" fontId="3" fillId="0" borderId="11" applyNumberFormat="0" applyFont="0" applyFill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Font="1" applyFill="1"/>
    <xf numFmtId="42" fontId="0" fillId="0" borderId="0" xfId="0" applyNumberFormat="1" applyFont="1" applyFill="1"/>
    <xf numFmtId="42" fontId="0" fillId="0" borderId="0" xfId="3" applyNumberFormat="1" applyFont="1" applyFill="1"/>
    <xf numFmtId="10" fontId="0" fillId="0" borderId="0" xfId="3" applyNumberFormat="1" applyFont="1" applyFill="1"/>
    <xf numFmtId="0" fontId="2" fillId="0" borderId="0" xfId="0" applyFont="1"/>
    <xf numFmtId="0" fontId="0" fillId="0" borderId="0" xfId="0" applyFont="1" applyBorder="1"/>
    <xf numFmtId="0" fontId="0" fillId="0" borderId="0" xfId="0" applyFont="1" applyFill="1" applyBorder="1"/>
    <xf numFmtId="166" fontId="0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0" fontId="0" fillId="0" borderId="2" xfId="0" applyFont="1" applyBorder="1"/>
    <xf numFmtId="3" fontId="0" fillId="0" borderId="2" xfId="0" applyNumberFormat="1" applyFont="1" applyBorder="1"/>
    <xf numFmtId="166" fontId="0" fillId="0" borderId="2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37" fontId="0" fillId="0" borderId="0" xfId="0" applyNumberFormat="1" applyFont="1" applyBorder="1"/>
    <xf numFmtId="0" fontId="0" fillId="0" borderId="15" xfId="0" applyFont="1" applyBorder="1"/>
    <xf numFmtId="3" fontId="0" fillId="0" borderId="15" xfId="0" applyNumberFormat="1" applyFont="1" applyBorder="1"/>
    <xf numFmtId="37" fontId="0" fillId="0" borderId="15" xfId="0" applyNumberFormat="1" applyFont="1" applyBorder="1"/>
    <xf numFmtId="37" fontId="0" fillId="0" borderId="16" xfId="0" applyNumberFormat="1" applyFont="1" applyBorder="1"/>
    <xf numFmtId="44" fontId="0" fillId="0" borderId="0" xfId="0" applyNumberFormat="1" applyFont="1" applyFill="1"/>
    <xf numFmtId="172" fontId="0" fillId="0" borderId="0" xfId="1" applyNumberFormat="1" applyFont="1"/>
    <xf numFmtId="0" fontId="0" fillId="0" borderId="0" xfId="0" applyFont="1" applyAlignment="1">
      <alignment horizontal="centerContinuous"/>
    </xf>
    <xf numFmtId="41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80" fontId="0" fillId="0" borderId="0" xfId="60" applyNumberFormat="1" applyFont="1"/>
    <xf numFmtId="180" fontId="0" fillId="0" borderId="0" xfId="60" applyNumberFormat="1" applyFont="1" applyFill="1"/>
    <xf numFmtId="164" fontId="0" fillId="0" borderId="0" xfId="59" applyNumberFormat="1" applyFont="1"/>
    <xf numFmtId="9" fontId="0" fillId="0" borderId="0" xfId="59" applyFont="1"/>
    <xf numFmtId="10" fontId="0" fillId="0" borderId="0" xfId="59" applyNumberFormat="1" applyFont="1"/>
    <xf numFmtId="10" fontId="0" fillId="0" borderId="0" xfId="59" applyNumberFormat="1" applyFont="1" applyFill="1"/>
    <xf numFmtId="0" fontId="0" fillId="0" borderId="0" xfId="0" applyFont="1" applyFill="1" applyAlignment="1">
      <alignment horizontal="left"/>
    </xf>
    <xf numFmtId="180" fontId="0" fillId="0" borderId="2" xfId="60" applyNumberFormat="1" applyFont="1" applyBorder="1"/>
    <xf numFmtId="180" fontId="0" fillId="0" borderId="2" xfId="60" applyNumberFormat="1" applyFont="1" applyFill="1" applyBorder="1"/>
    <xf numFmtId="164" fontId="0" fillId="0" borderId="2" xfId="0" applyNumberFormat="1" applyFont="1" applyBorder="1"/>
    <xf numFmtId="42" fontId="0" fillId="0" borderId="2" xfId="0" applyNumberFormat="1" applyFont="1" applyBorder="1"/>
    <xf numFmtId="10" fontId="0" fillId="0" borderId="2" xfId="59" applyNumberFormat="1" applyFont="1" applyFill="1" applyBorder="1"/>
    <xf numFmtId="10" fontId="0" fillId="0" borderId="2" xfId="3" applyNumberFormat="1" applyFont="1" applyFill="1" applyBorder="1"/>
    <xf numFmtId="41" fontId="0" fillId="0" borderId="0" xfId="0" applyNumberFormat="1" applyFont="1"/>
    <xf numFmtId="180" fontId="0" fillId="0" borderId="0" xfId="60" applyNumberFormat="1" applyFont="1" applyFill="1" applyBorder="1"/>
    <xf numFmtId="42" fontId="0" fillId="0" borderId="0" xfId="0" applyNumberFormat="1" applyFont="1" applyFill="1" applyBorder="1"/>
    <xf numFmtId="42" fontId="0" fillId="0" borderId="0" xfId="3" applyNumberFormat="1" applyFont="1" applyFill="1" applyBorder="1"/>
    <xf numFmtId="42" fontId="0" fillId="0" borderId="0" xfId="0" applyNumberFormat="1" applyFont="1" applyBorder="1"/>
    <xf numFmtId="42" fontId="0" fillId="0" borderId="0" xfId="0" applyNumberFormat="1" applyFont="1"/>
    <xf numFmtId="178" fontId="0" fillId="0" borderId="0" xfId="0" applyNumberFormat="1" applyFont="1" applyFill="1"/>
    <xf numFmtId="44" fontId="0" fillId="0" borderId="0" xfId="0" applyNumberFormat="1" applyFont="1" applyFill="1" applyBorder="1"/>
    <xf numFmtId="0" fontId="0" fillId="0" borderId="0" xfId="4" applyFont="1" applyAlignment="1"/>
    <xf numFmtId="167" fontId="0" fillId="0" borderId="0" xfId="4" applyNumberFormat="1" applyFont="1" applyAlignment="1"/>
    <xf numFmtId="0" fontId="0" fillId="0" borderId="0" xfId="4" applyFont="1"/>
    <xf numFmtId="0" fontId="0" fillId="0" borderId="0" xfId="4" applyFont="1" applyBorder="1" applyAlignment="1"/>
    <xf numFmtId="0" fontId="2" fillId="0" borderId="0" xfId="4" applyFont="1" applyAlignment="1"/>
    <xf numFmtId="167" fontId="2" fillId="0" borderId="0" xfId="4" applyNumberFormat="1" applyFont="1" applyAlignment="1"/>
    <xf numFmtId="0" fontId="2" fillId="0" borderId="0" xfId="4" applyFont="1"/>
    <xf numFmtId="0" fontId="2" fillId="0" borderId="0" xfId="4" applyFont="1" applyBorder="1" applyAlignment="1">
      <alignment horizontal="centerContinuous"/>
    </xf>
    <xf numFmtId="0" fontId="2" fillId="0" borderId="0" xfId="4" applyFont="1" applyAlignment="1">
      <alignment horizontal="centerContinuous"/>
    </xf>
    <xf numFmtId="166" fontId="2" fillId="0" borderId="0" xfId="4" applyNumberFormat="1" applyFont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Continuous"/>
    </xf>
    <xf numFmtId="168" fontId="0" fillId="0" borderId="1" xfId="0" applyNumberFormat="1" applyFont="1" applyBorder="1" applyAlignment="1">
      <alignment horizontal="centerContinuous"/>
    </xf>
    <xf numFmtId="168" fontId="0" fillId="0" borderId="0" xfId="0" applyNumberFormat="1" applyFont="1" applyBorder="1" applyAlignment="1"/>
    <xf numFmtId="0" fontId="0" fillId="0" borderId="0" xfId="0" applyFont="1" applyAlignment="1"/>
    <xf numFmtId="0" fontId="0" fillId="0" borderId="1" xfId="0" applyFont="1" applyBorder="1"/>
    <xf numFmtId="168" fontId="0" fillId="0" borderId="1" xfId="0" applyNumberFormat="1" applyFont="1" applyBorder="1" applyAlignment="1">
      <alignment horizontal="center"/>
    </xf>
    <xf numFmtId="165" fontId="0" fillId="0" borderId="0" xfId="0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9" xfId="0" applyFont="1" applyBorder="1" applyAlignment="1"/>
    <xf numFmtId="0" fontId="0" fillId="0" borderId="0" xfId="0" applyFont="1" applyBorder="1" applyAlignment="1"/>
    <xf numFmtId="0" fontId="2" fillId="0" borderId="0" xfId="0" applyFont="1" applyBorder="1" applyProtection="1">
      <protection locked="0"/>
    </xf>
    <xf numFmtId="166" fontId="0" fillId="0" borderId="0" xfId="0" applyNumberFormat="1" applyFont="1" applyBorder="1" applyAlignment="1"/>
    <xf numFmtId="0" fontId="0" fillId="0" borderId="0" xfId="0" applyFont="1" applyFill="1" applyBorder="1" applyProtection="1">
      <protection locked="0"/>
    </xf>
    <xf numFmtId="168" fontId="0" fillId="0" borderId="0" xfId="0" applyNumberFormat="1" applyFont="1" applyFill="1" applyBorder="1"/>
    <xf numFmtId="166" fontId="0" fillId="0" borderId="0" xfId="0" applyNumberFormat="1" applyFont="1" applyAlignment="1"/>
    <xf numFmtId="164" fontId="0" fillId="0" borderId="0" xfId="59" applyNumberFormat="1" applyFont="1" applyAlignment="1"/>
    <xf numFmtId="7" fontId="0" fillId="0" borderId="0" xfId="0" applyNumberFormat="1" applyFont="1" applyAlignment="1"/>
    <xf numFmtId="0" fontId="0" fillId="0" borderId="3" xfId="0" applyFont="1" applyBorder="1" applyAlignment="1">
      <alignment horizontal="center"/>
    </xf>
    <xf numFmtId="169" fontId="0" fillId="0" borderId="0" xfId="0" applyNumberFormat="1" applyFont="1" applyFill="1" applyBorder="1"/>
    <xf numFmtId="179" fontId="0" fillId="0" borderId="0" xfId="0" applyNumberFormat="1" applyFont="1" applyAlignment="1"/>
    <xf numFmtId="42" fontId="0" fillId="0" borderId="12" xfId="0" applyNumberFormat="1" applyFont="1" applyBorder="1" applyAlignment="1"/>
    <xf numFmtId="0" fontId="0" fillId="0" borderId="0" xfId="0" applyFont="1" applyBorder="1" applyProtection="1">
      <protection locked="0"/>
    </xf>
    <xf numFmtId="0" fontId="0" fillId="0" borderId="13" xfId="0" applyFont="1" applyBorder="1" applyAlignment="1">
      <alignment horizontal="center"/>
    </xf>
    <xf numFmtId="165" fontId="0" fillId="0" borderId="0" xfId="3" applyNumberFormat="1" applyFont="1" applyBorder="1"/>
    <xf numFmtId="166" fontId="0" fillId="0" borderId="12" xfId="0" applyNumberFormat="1" applyFont="1" applyBorder="1"/>
    <xf numFmtId="0" fontId="2" fillId="0" borderId="0" xfId="0" applyFont="1" applyFill="1" applyBorder="1" applyProtection="1">
      <protection locked="0"/>
    </xf>
    <xf numFmtId="166" fontId="0" fillId="0" borderId="0" xfId="0" applyNumberFormat="1" applyFont="1" applyFill="1" applyBorder="1"/>
    <xf numFmtId="166" fontId="0" fillId="0" borderId="0" xfId="0" applyNumberFormat="1" applyFont="1" applyFill="1" applyBorder="1" applyAlignment="1">
      <alignment horizontal="right"/>
    </xf>
    <xf numFmtId="165" fontId="0" fillId="0" borderId="13" xfId="59" applyNumberFormat="1" applyFont="1" applyBorder="1"/>
    <xf numFmtId="166" fontId="0" fillId="0" borderId="1" xfId="0" applyNumberFormat="1" applyFont="1" applyBorder="1" applyAlignment="1"/>
    <xf numFmtId="0" fontId="2" fillId="0" borderId="0" xfId="0" applyFont="1" applyFill="1" applyBorder="1"/>
    <xf numFmtId="3" fontId="0" fillId="0" borderId="0" xfId="0" applyNumberFormat="1" applyFont="1" applyFill="1" applyBorder="1" applyAlignment="1" applyProtection="1">
      <alignment horizontal="left"/>
      <protection locked="0"/>
    </xf>
    <xf numFmtId="170" fontId="0" fillId="0" borderId="0" xfId="0" applyNumberFormat="1" applyFont="1" applyBorder="1" applyAlignment="1">
      <alignment horizontal="right"/>
    </xf>
    <xf numFmtId="0" fontId="2" fillId="0" borderId="0" xfId="2" applyFont="1" applyBorder="1" applyProtection="1">
      <protection locked="0"/>
    </xf>
    <xf numFmtId="0" fontId="0" fillId="0" borderId="0" xfId="2" applyFont="1"/>
    <xf numFmtId="0" fontId="0" fillId="0" borderId="0" xfId="2" applyFont="1" applyBorder="1" applyProtection="1">
      <protection locked="0"/>
    </xf>
    <xf numFmtId="0" fontId="0" fillId="0" borderId="0" xfId="2" applyFont="1" applyFill="1" applyBorder="1"/>
    <xf numFmtId="166" fontId="0" fillId="0" borderId="0" xfId="2" applyNumberFormat="1" applyFont="1" applyBorder="1"/>
    <xf numFmtId="164" fontId="0" fillId="0" borderId="0" xfId="2" applyNumberFormat="1" applyFont="1" applyBorder="1" applyAlignment="1">
      <alignment horizontal="left"/>
    </xf>
    <xf numFmtId="0" fontId="0" fillId="0" borderId="0" xfId="2" applyFont="1" applyFill="1" applyBorder="1" applyProtection="1">
      <protection locked="0"/>
    </xf>
    <xf numFmtId="3" fontId="0" fillId="0" borderId="0" xfId="2" applyNumberFormat="1" applyFont="1" applyFill="1" applyBorder="1"/>
    <xf numFmtId="166" fontId="0" fillId="0" borderId="0" xfId="2" applyNumberFormat="1" applyFont="1" applyFill="1" applyBorder="1"/>
    <xf numFmtId="0" fontId="0" fillId="0" borderId="0" xfId="2" applyFont="1" applyBorder="1"/>
    <xf numFmtId="169" fontId="0" fillId="0" borderId="0" xfId="2" applyNumberFormat="1" applyFont="1" applyFill="1" applyBorder="1"/>
    <xf numFmtId="166" fontId="0" fillId="0" borderId="2" xfId="2" applyNumberFormat="1" applyFont="1" applyFill="1" applyBorder="1"/>
    <xf numFmtId="0" fontId="2" fillId="0" borderId="0" xfId="2" applyFont="1" applyFill="1" applyBorder="1" applyProtection="1">
      <protection locked="0"/>
    </xf>
    <xf numFmtId="9" fontId="0" fillId="0" borderId="0" xfId="2" applyNumberFormat="1" applyFont="1" applyFill="1" applyBorder="1"/>
    <xf numFmtId="166" fontId="0" fillId="0" borderId="0" xfId="2" applyNumberFormat="1" applyFont="1" applyBorder="1" applyAlignment="1">
      <alignment horizontal="right"/>
    </xf>
    <xf numFmtId="168" fontId="0" fillId="0" borderId="0" xfId="2" applyNumberFormat="1" applyFont="1" applyFill="1" applyBorder="1"/>
    <xf numFmtId="166" fontId="0" fillId="0" borderId="2" xfId="2" applyNumberFormat="1" applyFont="1" applyBorder="1"/>
    <xf numFmtId="3" fontId="0" fillId="0" borderId="2" xfId="2" applyNumberFormat="1" applyFont="1" applyFill="1" applyBorder="1"/>
    <xf numFmtId="171" fontId="0" fillId="0" borderId="0" xfId="0" applyNumberFormat="1" applyFont="1" applyFill="1" applyBorder="1"/>
    <xf numFmtId="166" fontId="0" fillId="0" borderId="2" xfId="2" applyNumberFormat="1" applyFont="1" applyBorder="1" applyAlignment="1">
      <alignment horizontal="right"/>
    </xf>
    <xf numFmtId="0" fontId="0" fillId="0" borderId="0" xfId="2" applyFont="1" applyFill="1"/>
    <xf numFmtId="164" fontId="0" fillId="0" borderId="0" xfId="2" applyNumberFormat="1" applyFont="1" applyFill="1" applyBorder="1" applyAlignment="1">
      <alignment horizontal="left"/>
    </xf>
    <xf numFmtId="168" fontId="0" fillId="0" borderId="0" xfId="2" applyNumberFormat="1" applyFont="1" applyBorder="1" applyAlignment="1">
      <alignment horizontal="right"/>
    </xf>
    <xf numFmtId="165" fontId="0" fillId="0" borderId="0" xfId="2" applyNumberFormat="1" applyFont="1" applyBorder="1" applyAlignment="1">
      <alignment horizontal="left"/>
    </xf>
    <xf numFmtId="0" fontId="0" fillId="0" borderId="1" xfId="2" applyFont="1" applyBorder="1"/>
    <xf numFmtId="42" fontId="0" fillId="0" borderId="0" xfId="0" applyNumberFormat="1" applyFont="1" applyBorder="1" applyAlignment="1"/>
    <xf numFmtId="165" fontId="0" fillId="0" borderId="0" xfId="59" applyNumberFormat="1" applyFont="1" applyBorder="1"/>
    <xf numFmtId="166" fontId="0" fillId="0" borderId="0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172" fontId="0" fillId="0" borderId="0" xfId="0" applyNumberFormat="1" applyFont="1" applyFill="1" applyBorder="1"/>
    <xf numFmtId="168" fontId="0" fillId="0" borderId="0" xfId="2" applyNumberFormat="1" applyFont="1" applyFill="1" applyBorder="1" applyAlignment="1">
      <alignment horizontal="right"/>
    </xf>
    <xf numFmtId="0" fontId="2" fillId="0" borderId="0" xfId="2" applyFont="1" applyFill="1"/>
    <xf numFmtId="0" fontId="0" fillId="0" borderId="14" xfId="0" applyFont="1" applyBorder="1"/>
    <xf numFmtId="0" fontId="2" fillId="0" borderId="0" xfId="0" applyFont="1" applyBorder="1" applyAlignment="1">
      <alignment horizontal="centerContinuous"/>
    </xf>
    <xf numFmtId="7" fontId="0" fillId="0" borderId="0" xfId="0" applyNumberFormat="1" applyFont="1"/>
    <xf numFmtId="179" fontId="0" fillId="0" borderId="0" xfId="0" applyNumberFormat="1" applyFont="1"/>
    <xf numFmtId="171" fontId="0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4" applyFont="1" applyBorder="1" applyAlignment="1">
      <alignment horizontal="center"/>
    </xf>
  </cellXfs>
  <cellStyles count="62">
    <cellStyle name="Calculation 2" xfId="6" xr:uid="{00000000-0005-0000-0000-000000000000}"/>
    <cellStyle name="Calculation 3" xfId="7" xr:uid="{00000000-0005-0000-0000-000001000000}"/>
    <cellStyle name="Comma" xfId="1" builtinId="3"/>
    <cellStyle name="Comma 2" xfId="8" xr:uid="{00000000-0005-0000-0000-000003000000}"/>
    <cellStyle name="Comma0" xfId="9" xr:uid="{00000000-0005-0000-0000-000004000000}"/>
    <cellStyle name="Comma0 - Style4" xfId="10" xr:uid="{00000000-0005-0000-0000-000005000000}"/>
    <cellStyle name="Comma1 - Style1" xfId="11" xr:uid="{00000000-0005-0000-0000-000006000000}"/>
    <cellStyle name="Curren - Style2" xfId="12" xr:uid="{00000000-0005-0000-0000-000007000000}"/>
    <cellStyle name="Currency" xfId="60" builtinId="4"/>
    <cellStyle name="Currency 2" xfId="13" xr:uid="{00000000-0005-0000-0000-000009000000}"/>
    <cellStyle name="Currency 3" xfId="5" xr:uid="{00000000-0005-0000-0000-00000A000000}"/>
    <cellStyle name="Currency0" xfId="14" xr:uid="{00000000-0005-0000-0000-00000B000000}"/>
    <cellStyle name="Date" xfId="15" xr:uid="{00000000-0005-0000-0000-00000C000000}"/>
    <cellStyle name="Date 2" xfId="16" xr:uid="{00000000-0005-0000-0000-00000D000000}"/>
    <cellStyle name="Entered" xfId="17" xr:uid="{00000000-0005-0000-0000-00000E000000}"/>
    <cellStyle name="Entered 2" xfId="18" xr:uid="{00000000-0005-0000-0000-00000F000000}"/>
    <cellStyle name="Fixed" xfId="19" xr:uid="{00000000-0005-0000-0000-000010000000}"/>
    <cellStyle name="Grey" xfId="20" xr:uid="{00000000-0005-0000-0000-000011000000}"/>
    <cellStyle name="Heading 1 2" xfId="21" xr:uid="{00000000-0005-0000-0000-000012000000}"/>
    <cellStyle name="Heading 1 3" xfId="22" xr:uid="{00000000-0005-0000-0000-000013000000}"/>
    <cellStyle name="Heading 2 2" xfId="23" xr:uid="{00000000-0005-0000-0000-000014000000}"/>
    <cellStyle name="Heading 2 3" xfId="24" xr:uid="{00000000-0005-0000-0000-000015000000}"/>
    <cellStyle name="Heading1" xfId="25" xr:uid="{00000000-0005-0000-0000-000016000000}"/>
    <cellStyle name="Heading2" xfId="26" xr:uid="{00000000-0005-0000-0000-000017000000}"/>
    <cellStyle name="Input [yellow]" xfId="27" xr:uid="{00000000-0005-0000-0000-000018000000}"/>
    <cellStyle name="modified border" xfId="28" xr:uid="{00000000-0005-0000-0000-000019000000}"/>
    <cellStyle name="modified border1" xfId="29" xr:uid="{00000000-0005-0000-0000-00001A000000}"/>
    <cellStyle name="Normal" xfId="0" builtinId="0"/>
    <cellStyle name="Normal - Style1" xfId="30" xr:uid="{00000000-0005-0000-0000-00001C000000}"/>
    <cellStyle name="Normal - Style1 2" xfId="31" xr:uid="{00000000-0005-0000-0000-00001D000000}"/>
    <cellStyle name="Normal 2" xfId="4" xr:uid="{00000000-0005-0000-0000-00001E000000}"/>
    <cellStyle name="Normal 2 16 2" xfId="61" xr:uid="{00000000-0005-0000-0000-00001F000000}"/>
    <cellStyle name="Normal 3" xfId="32" xr:uid="{00000000-0005-0000-0000-000020000000}"/>
    <cellStyle name="Percen - Style2" xfId="33" xr:uid="{00000000-0005-0000-0000-000021000000}"/>
    <cellStyle name="Percen - Style3" xfId="34" xr:uid="{00000000-0005-0000-0000-000022000000}"/>
    <cellStyle name="Percent" xfId="59" builtinId="5"/>
    <cellStyle name="Percent [2]" xfId="35" xr:uid="{00000000-0005-0000-0000-000024000000}"/>
    <cellStyle name="Percent [2] 2" xfId="36" xr:uid="{00000000-0005-0000-0000-000025000000}"/>
    <cellStyle name="Percent 2" xfId="37" xr:uid="{00000000-0005-0000-0000-000026000000}"/>
    <cellStyle name="Percent 3" xfId="3" xr:uid="{00000000-0005-0000-0000-000027000000}"/>
    <cellStyle name="Report" xfId="38" xr:uid="{00000000-0005-0000-0000-000028000000}"/>
    <cellStyle name="Report - Style5" xfId="39" xr:uid="{00000000-0005-0000-0000-000029000000}"/>
    <cellStyle name="Report - Style6" xfId="40" xr:uid="{00000000-0005-0000-0000-00002A000000}"/>
    <cellStyle name="Report - Style7" xfId="41" xr:uid="{00000000-0005-0000-0000-00002B000000}"/>
    <cellStyle name="Report - Style8" xfId="42" xr:uid="{00000000-0005-0000-0000-00002C000000}"/>
    <cellStyle name="Report Bar" xfId="43" xr:uid="{00000000-0005-0000-0000-00002D000000}"/>
    <cellStyle name="Report Heading" xfId="44" xr:uid="{00000000-0005-0000-0000-00002E000000}"/>
    <cellStyle name="Report Unit Cost" xfId="45" xr:uid="{00000000-0005-0000-0000-00002F000000}"/>
    <cellStyle name="Report Unit Cost 2" xfId="46" xr:uid="{00000000-0005-0000-0000-000030000000}"/>
    <cellStyle name="Reports Total" xfId="47" xr:uid="{00000000-0005-0000-0000-000031000000}"/>
    <cellStyle name="StmtTtl1" xfId="48" xr:uid="{00000000-0005-0000-0000-000032000000}"/>
    <cellStyle name="StmtTtl2" xfId="49" xr:uid="{00000000-0005-0000-0000-000033000000}"/>
    <cellStyle name="Style 1" xfId="50" xr:uid="{00000000-0005-0000-0000-000034000000}"/>
    <cellStyle name="Style 1 2" xfId="51" xr:uid="{00000000-0005-0000-0000-000035000000}"/>
    <cellStyle name="Test" xfId="2" xr:uid="{00000000-0005-0000-0000-000036000000}"/>
    <cellStyle name="Title: - Style3" xfId="52" xr:uid="{00000000-0005-0000-0000-000037000000}"/>
    <cellStyle name="Title: - Style4" xfId="53" xr:uid="{00000000-0005-0000-0000-000038000000}"/>
    <cellStyle name="Title: Major" xfId="54" xr:uid="{00000000-0005-0000-0000-000039000000}"/>
    <cellStyle name="Title: Minor" xfId="55" xr:uid="{00000000-0005-0000-0000-00003A000000}"/>
    <cellStyle name="Title: Worksheet" xfId="56" xr:uid="{00000000-0005-0000-0000-00003B000000}"/>
    <cellStyle name="Total 2" xfId="57" xr:uid="{00000000-0005-0000-0000-00003C000000}"/>
    <cellStyle name="Total 3" xfId="58" xr:uid="{00000000-0005-0000-0000-00003D000000}"/>
  </cellStyles>
  <dxfs count="0"/>
  <tableStyles count="0" defaultTableStyle="TableStyleMedium9" defaultPivotStyle="PivotStyleLight16"/>
  <colors>
    <mruColors>
      <color rgb="FF008080"/>
      <color rgb="FF0000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966INFBW/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/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/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/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/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/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/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/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/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/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/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/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/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/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/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/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/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/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/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/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/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/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/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/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/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/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/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/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/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/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/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/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/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/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/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/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/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/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/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/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/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/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/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/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/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/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/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/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/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/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/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/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/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/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/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/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/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/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/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/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/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/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/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/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/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/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/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/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/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/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/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/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/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/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/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/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/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/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/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/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/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/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/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/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/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/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/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/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/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/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/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/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/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/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/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/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/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/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/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/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/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/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/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/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/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/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/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/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/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/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/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/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/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/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/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/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/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/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/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/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/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/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/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/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/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/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/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/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/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/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/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/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/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/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/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/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/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/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/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/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/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/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/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/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/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/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/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/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/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/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/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/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/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/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/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/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/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/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/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/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/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/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/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/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/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/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/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/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/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/>
          <cell r="C14"/>
          <cell r="M14"/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/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5"/>
  <sheetViews>
    <sheetView tabSelected="1" zoomScaleNormal="100" workbookViewId="0">
      <selection activeCell="E26" sqref="E26"/>
    </sheetView>
  </sheetViews>
  <sheetFormatPr defaultColWidth="4.28515625" defaultRowHeight="15" x14ac:dyDescent="0.25"/>
  <cols>
    <col min="1" max="1" width="2.28515625" style="1" customWidth="1"/>
    <col min="2" max="2" width="33.42578125" style="1" bestFit="1" customWidth="1"/>
    <col min="3" max="3" width="13.42578125" style="1" bestFit="1" customWidth="1"/>
    <col min="4" max="6" width="15.28515625" style="1" customWidth="1"/>
    <col min="7" max="7" width="11.28515625" style="1" bestFit="1" customWidth="1"/>
    <col min="8" max="8" width="10.28515625" style="1" bestFit="1" customWidth="1"/>
    <col min="9" max="9" width="9.5703125" style="1" bestFit="1" customWidth="1"/>
    <col min="10" max="10" width="13.85546875" style="1" customWidth="1"/>
    <col min="11" max="11" width="15.28515625" style="1" customWidth="1"/>
    <col min="12" max="12" width="14" style="1" customWidth="1"/>
    <col min="13" max="13" width="11.7109375" style="1" bestFit="1" customWidth="1"/>
    <col min="14" max="14" width="10.28515625" style="1" bestFit="1" customWidth="1"/>
    <col min="15" max="15" width="13.85546875" style="1" customWidth="1"/>
    <col min="16" max="16" width="4.28515625" style="1"/>
    <col min="17" max="17" width="15" style="2" bestFit="1" customWidth="1"/>
    <col min="18" max="16384" width="4.28515625" style="1"/>
  </cols>
  <sheetData>
    <row r="1" spans="2:19" x14ac:dyDescent="0.2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2:19" s="2" customFormat="1" x14ac:dyDescent="0.25">
      <c r="B2" s="137" t="s">
        <v>184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2:19" x14ac:dyDescent="0.25">
      <c r="B3" s="137" t="s">
        <v>191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9" x14ac:dyDescent="0.25">
      <c r="B4" s="137" t="s">
        <v>186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2:19" x14ac:dyDescent="0.25">
      <c r="B5" s="26"/>
      <c r="D5" s="2"/>
      <c r="E5" s="2"/>
      <c r="F5" s="2"/>
      <c r="G5" s="2"/>
      <c r="H5" s="2"/>
      <c r="I5" s="2"/>
      <c r="J5" s="2"/>
      <c r="P5" s="27"/>
      <c r="Q5" s="27"/>
      <c r="R5" s="27"/>
      <c r="S5" s="27"/>
    </row>
    <row r="6" spans="2:19" x14ac:dyDescent="0.25">
      <c r="B6" s="26"/>
      <c r="E6" s="2"/>
      <c r="K6" s="28"/>
      <c r="L6" s="28"/>
      <c r="M6" s="28"/>
      <c r="N6" s="2"/>
      <c r="O6" s="2"/>
      <c r="P6" s="27"/>
      <c r="Q6" s="27"/>
      <c r="R6" s="27"/>
      <c r="S6" s="27"/>
    </row>
    <row r="7" spans="2:19" x14ac:dyDescent="0.25">
      <c r="C7" s="29"/>
      <c r="D7" s="28" t="s">
        <v>28</v>
      </c>
      <c r="E7" s="28" t="s">
        <v>157</v>
      </c>
      <c r="F7" s="28" t="s">
        <v>5</v>
      </c>
      <c r="G7" s="29"/>
      <c r="H7" s="29"/>
      <c r="I7" s="29"/>
      <c r="J7" s="29"/>
      <c r="K7" s="28"/>
      <c r="L7" s="30"/>
      <c r="M7" s="30" t="s">
        <v>149</v>
      </c>
      <c r="N7" s="30"/>
      <c r="O7" s="28" t="s">
        <v>3</v>
      </c>
      <c r="P7" s="27"/>
      <c r="Q7" s="27"/>
      <c r="R7" s="27"/>
      <c r="S7" s="27"/>
    </row>
    <row r="8" spans="2:19" x14ac:dyDescent="0.25">
      <c r="C8" s="29" t="s">
        <v>4</v>
      </c>
      <c r="D8" s="28" t="s">
        <v>13</v>
      </c>
      <c r="E8" s="28" t="s">
        <v>13</v>
      </c>
      <c r="F8" s="30" t="s">
        <v>177</v>
      </c>
      <c r="G8" s="29" t="s">
        <v>141</v>
      </c>
      <c r="H8" s="30" t="s">
        <v>141</v>
      </c>
      <c r="I8" s="30" t="s">
        <v>144</v>
      </c>
      <c r="J8" s="30" t="s">
        <v>144</v>
      </c>
      <c r="K8" s="28" t="s">
        <v>1</v>
      </c>
      <c r="L8" s="30"/>
      <c r="M8" s="30" t="s">
        <v>147</v>
      </c>
      <c r="N8" s="30" t="s">
        <v>149</v>
      </c>
      <c r="O8" s="30" t="s">
        <v>7</v>
      </c>
      <c r="P8" s="27"/>
      <c r="Q8" s="27"/>
      <c r="R8" s="27"/>
      <c r="S8" s="27"/>
    </row>
    <row r="9" spans="2:19" x14ac:dyDescent="0.25">
      <c r="C9" s="30" t="s">
        <v>8</v>
      </c>
      <c r="D9" s="28" t="s">
        <v>148</v>
      </c>
      <c r="E9" s="28" t="s">
        <v>148</v>
      </c>
      <c r="F9" s="30" t="s">
        <v>179</v>
      </c>
      <c r="G9" s="30" t="s">
        <v>142</v>
      </c>
      <c r="H9" s="30" t="s">
        <v>143</v>
      </c>
      <c r="I9" s="30" t="s">
        <v>5</v>
      </c>
      <c r="J9" s="30" t="s">
        <v>145</v>
      </c>
      <c r="K9" s="30" t="s">
        <v>9</v>
      </c>
      <c r="L9" s="30" t="s">
        <v>2</v>
      </c>
      <c r="M9" s="30" t="s">
        <v>146</v>
      </c>
      <c r="N9" s="30" t="s">
        <v>147</v>
      </c>
      <c r="O9" s="30" t="s">
        <v>10</v>
      </c>
      <c r="P9" s="27"/>
      <c r="Q9" s="27"/>
      <c r="R9" s="27"/>
      <c r="S9" s="27"/>
    </row>
    <row r="10" spans="2:19" x14ac:dyDescent="0.25">
      <c r="B10" s="31" t="s">
        <v>11</v>
      </c>
      <c r="C10" s="32" t="s">
        <v>12</v>
      </c>
      <c r="D10" s="32" t="s">
        <v>34</v>
      </c>
      <c r="E10" s="32" t="s">
        <v>158</v>
      </c>
      <c r="F10" s="32" t="s">
        <v>178</v>
      </c>
      <c r="G10" s="32" t="s">
        <v>25</v>
      </c>
      <c r="H10" s="32" t="s">
        <v>149</v>
      </c>
      <c r="I10" s="32" t="s">
        <v>14</v>
      </c>
      <c r="J10" s="32" t="s">
        <v>25</v>
      </c>
      <c r="K10" s="32" t="s">
        <v>185</v>
      </c>
      <c r="L10" s="32" t="s">
        <v>5</v>
      </c>
      <c r="M10" s="32" t="s">
        <v>13</v>
      </c>
      <c r="N10" s="32" t="s">
        <v>156</v>
      </c>
      <c r="O10" s="32" t="s">
        <v>15</v>
      </c>
      <c r="P10" s="27"/>
      <c r="Q10" s="27"/>
      <c r="R10" s="27"/>
      <c r="S10" s="27"/>
    </row>
    <row r="11" spans="2:19" x14ac:dyDescent="0.25">
      <c r="B11" s="29" t="s">
        <v>16</v>
      </c>
      <c r="C11" s="30" t="s">
        <v>17</v>
      </c>
      <c r="D11" s="30" t="s">
        <v>163</v>
      </c>
      <c r="E11" s="30" t="s">
        <v>164</v>
      </c>
      <c r="F11" s="30" t="s">
        <v>165</v>
      </c>
      <c r="G11" s="30" t="s">
        <v>166</v>
      </c>
      <c r="H11" s="30" t="s">
        <v>167</v>
      </c>
      <c r="I11" s="30" t="s">
        <v>168</v>
      </c>
      <c r="J11" s="30" t="s">
        <v>169</v>
      </c>
      <c r="K11" s="30" t="s">
        <v>170</v>
      </c>
      <c r="L11" s="30" t="s">
        <v>171</v>
      </c>
      <c r="M11" s="30" t="s">
        <v>172</v>
      </c>
      <c r="N11" s="30" t="s">
        <v>173</v>
      </c>
      <c r="O11" s="30" t="s">
        <v>174</v>
      </c>
      <c r="P11" s="27"/>
      <c r="Q11" s="27"/>
      <c r="R11" s="27"/>
      <c r="S11" s="27"/>
    </row>
    <row r="12" spans="2:19" x14ac:dyDescent="0.25">
      <c r="B12" s="33" t="s">
        <v>18</v>
      </c>
      <c r="C12" s="34">
        <v>603115440.25499988</v>
      </c>
      <c r="D12" s="35">
        <f>E12+F12</f>
        <v>508333111.13779581</v>
      </c>
      <c r="E12" s="36">
        <v>197008983.53210199</v>
      </c>
      <c r="F12" s="35">
        <v>311324127.60569382</v>
      </c>
      <c r="G12" s="37">
        <f>F12/(F$20-F$19)</f>
        <v>0.70425970608818422</v>
      </c>
      <c r="H12" s="38">
        <v>1</v>
      </c>
      <c r="I12" s="39">
        <f>$J$26*$J$27*H12</f>
        <v>8.4651014781446821E-2</v>
      </c>
      <c r="J12" s="35">
        <f>F12*I12</f>
        <v>26353903.327770624</v>
      </c>
      <c r="K12" s="35">
        <f>'Exh. JAP-6 Pages 2-6'!J173</f>
        <v>326090855.42058766</v>
      </c>
      <c r="L12" s="36">
        <f>K12-F12</f>
        <v>14766727.814893842</v>
      </c>
      <c r="M12" s="40">
        <f>L12/D12</f>
        <v>2.9049313317091728E-2</v>
      </c>
      <c r="N12" s="5">
        <f>L12/F12</f>
        <v>4.7432005763448491E-2</v>
      </c>
      <c r="O12" s="36">
        <f>L12-J12</f>
        <v>-11587175.512876783</v>
      </c>
      <c r="P12" s="27"/>
      <c r="Q12" s="27"/>
      <c r="R12" s="27"/>
      <c r="S12" s="27"/>
    </row>
    <row r="13" spans="2:19" x14ac:dyDescent="0.25">
      <c r="B13" s="18" t="s">
        <v>19</v>
      </c>
      <c r="C13" s="34">
        <v>228648146.24000001</v>
      </c>
      <c r="D13" s="35">
        <f t="shared" ref="D13:D19" si="0">E13+F13</f>
        <v>164467359.40302894</v>
      </c>
      <c r="E13" s="36">
        <v>72863216.769802108</v>
      </c>
      <c r="F13" s="35">
        <v>91604142.633226827</v>
      </c>
      <c r="G13" s="37">
        <f>F13/(F$20-F$19)</f>
        <v>0.20722167299877642</v>
      </c>
      <c r="H13" s="38">
        <v>1</v>
      </c>
      <c r="I13" s="39">
        <f t="shared" ref="I13:I16" si="1">$J$26*$J$27*H13</f>
        <v>8.4651014781446821E-2</v>
      </c>
      <c r="J13" s="35">
        <f t="shared" ref="J13:J17" si="2">F13*I13</f>
        <v>7754383.6320870472</v>
      </c>
      <c r="K13" s="35">
        <f>'Exh. JAP-6 Pages 2-6'!J174</f>
        <v>96380712.859999999</v>
      </c>
      <c r="L13" s="36">
        <f>K13-F13</f>
        <v>4776570.2267731726</v>
      </c>
      <c r="M13" s="40">
        <f t="shared" ref="M13:M20" si="3">L13/D13</f>
        <v>2.904266380946835E-2</v>
      </c>
      <c r="N13" s="5">
        <f>L13/F13</f>
        <v>5.2143604966623049E-2</v>
      </c>
      <c r="O13" s="36">
        <f t="shared" ref="O13:O18" si="4">L13-J13</f>
        <v>-2977813.4053138746</v>
      </c>
      <c r="P13" s="27"/>
      <c r="Q13" s="27"/>
      <c r="R13" s="27"/>
      <c r="S13" s="27"/>
    </row>
    <row r="14" spans="2:19" x14ac:dyDescent="0.25">
      <c r="B14" s="41" t="s">
        <v>20</v>
      </c>
      <c r="C14" s="34">
        <v>83221117.535999998</v>
      </c>
      <c r="D14" s="35">
        <f t="shared" si="0"/>
        <v>37089703.907977685</v>
      </c>
      <c r="E14" s="36">
        <v>18637902.862973999</v>
      </c>
      <c r="F14" s="35">
        <v>18451801.045003682</v>
      </c>
      <c r="G14" s="37">
        <f t="shared" ref="G14:G18" si="5">F14/(F$20-F$19)</f>
        <v>4.1740613169598359E-2</v>
      </c>
      <c r="H14" s="38">
        <v>1</v>
      </c>
      <c r="I14" s="39">
        <f t="shared" si="1"/>
        <v>8.4651014781446821E-2</v>
      </c>
      <c r="J14" s="35">
        <f t="shared" si="2"/>
        <v>1561963.6830049227</v>
      </c>
      <c r="K14" s="35">
        <f>'Exh. JAP-6 Pages 2-6'!J175</f>
        <v>19529169.310000002</v>
      </c>
      <c r="L14" s="36">
        <f>K14-F14</f>
        <v>1077368.26499632</v>
      </c>
      <c r="M14" s="40">
        <f t="shared" si="3"/>
        <v>2.9047637254515452E-2</v>
      </c>
      <c r="N14" s="5">
        <f>L14/F14</f>
        <v>5.8388244181076632E-2</v>
      </c>
      <c r="O14" s="36">
        <f t="shared" si="4"/>
        <v>-484595.41800860269</v>
      </c>
      <c r="P14" s="27"/>
      <c r="Q14" s="27"/>
      <c r="R14" s="27"/>
      <c r="S14" s="27"/>
    </row>
    <row r="15" spans="2:19" x14ac:dyDescent="0.25">
      <c r="B15" s="33" t="s">
        <v>21</v>
      </c>
      <c r="C15" s="34">
        <v>92890376.545999989</v>
      </c>
      <c r="D15" s="35">
        <f>E15+F15</f>
        <v>13175859.740642626</v>
      </c>
      <c r="E15" s="36">
        <v>4548588.2876391998</v>
      </c>
      <c r="F15" s="35">
        <v>8627271.4530034252</v>
      </c>
      <c r="G15" s="37">
        <f t="shared" si="5"/>
        <v>1.9516122006227869E-2</v>
      </c>
      <c r="H15" s="38">
        <v>1</v>
      </c>
      <c r="I15" s="39">
        <f t="shared" si="1"/>
        <v>8.4651014781446821E-2</v>
      </c>
      <c r="J15" s="35">
        <f t="shared" si="2"/>
        <v>730307.2832917471</v>
      </c>
      <c r="K15" s="35">
        <f>'Exh. JAP-6 Pages 2-6'!J176</f>
        <v>9009906.5199999996</v>
      </c>
      <c r="L15" s="36">
        <f t="shared" ref="L15:L19" si="6">K15-F15</f>
        <v>382635.0669965744</v>
      </c>
      <c r="M15" s="40">
        <f t="shared" si="3"/>
        <v>2.9040614770380984E-2</v>
      </c>
      <c r="N15" s="5">
        <f t="shared" ref="N15:N22" si="7">L15/F15</f>
        <v>4.4351805675868362E-2</v>
      </c>
      <c r="O15" s="36">
        <f t="shared" si="4"/>
        <v>-347672.21629517269</v>
      </c>
      <c r="P15" s="27"/>
      <c r="Q15" s="27"/>
      <c r="R15" s="27"/>
      <c r="S15" s="27"/>
    </row>
    <row r="16" spans="2:19" x14ac:dyDescent="0.25">
      <c r="B16" s="41" t="s">
        <v>22</v>
      </c>
      <c r="C16" s="34">
        <v>9461905.2420000006</v>
      </c>
      <c r="D16" s="35">
        <f t="shared" si="0"/>
        <v>4556034.8584969463</v>
      </c>
      <c r="E16" s="36">
        <v>2526901.9748543194</v>
      </c>
      <c r="F16" s="35">
        <v>2029132.8836426272</v>
      </c>
      <c r="G16" s="37">
        <f t="shared" si="5"/>
        <v>4.5901888145912229E-3</v>
      </c>
      <c r="H16" s="38">
        <v>1</v>
      </c>
      <c r="I16" s="39">
        <f t="shared" si="1"/>
        <v>8.4651014781446821E-2</v>
      </c>
      <c r="J16" s="35">
        <f t="shared" si="2"/>
        <v>171768.15772675184</v>
      </c>
      <c r="K16" s="35">
        <f>'Exh. JAP-6 Pages 2-6'!J177</f>
        <v>2161404.5100000002</v>
      </c>
      <c r="L16" s="36">
        <f t="shared" si="6"/>
        <v>132271.62635737308</v>
      </c>
      <c r="M16" s="40">
        <f t="shared" si="3"/>
        <v>2.9032180495873118E-2</v>
      </c>
      <c r="N16" s="5">
        <f t="shared" si="7"/>
        <v>6.5186281008823718E-2</v>
      </c>
      <c r="O16" s="36">
        <f t="shared" si="4"/>
        <v>-39496.531369378761</v>
      </c>
      <c r="P16" s="27"/>
      <c r="Q16" s="27"/>
      <c r="R16" s="27"/>
      <c r="S16" s="27"/>
    </row>
    <row r="17" spans="2:19" x14ac:dyDescent="0.25">
      <c r="B17" s="41" t="s">
        <v>23</v>
      </c>
      <c r="C17" s="34">
        <v>127157479.87799999</v>
      </c>
      <c r="D17" s="35">
        <f t="shared" si="0"/>
        <v>11024567.109661145</v>
      </c>
      <c r="E17" s="36">
        <v>6366712.0442313207</v>
      </c>
      <c r="F17" s="35">
        <v>4657855.0654298244</v>
      </c>
      <c r="G17" s="37">
        <f t="shared" si="5"/>
        <v>1.0536734382295188E-2</v>
      </c>
      <c r="H17" s="38">
        <v>1</v>
      </c>
      <c r="I17" s="39">
        <f>$J$26*$J$27*H17</f>
        <v>8.4651014781446821E-2</v>
      </c>
      <c r="J17" s="35">
        <f t="shared" si="2"/>
        <v>394292.15799353702</v>
      </c>
      <c r="K17" s="35">
        <f>'Exh. JAP-6 Pages 2-6'!J178</f>
        <v>4977481.83</v>
      </c>
      <c r="L17" s="36">
        <f t="shared" si="6"/>
        <v>319626.76457017567</v>
      </c>
      <c r="M17" s="40">
        <f>L17/D17</f>
        <v>2.899222812023862E-2</v>
      </c>
      <c r="N17" s="5">
        <f t="shared" si="7"/>
        <v>6.862101977848481E-2</v>
      </c>
      <c r="O17" s="36">
        <f t="shared" si="4"/>
        <v>-74665.393423361355</v>
      </c>
      <c r="P17" s="27"/>
      <c r="Q17" s="27"/>
      <c r="R17" s="27"/>
      <c r="S17" s="27"/>
    </row>
    <row r="18" spans="2:19" x14ac:dyDescent="0.25">
      <c r="B18" s="33" t="s">
        <v>24</v>
      </c>
      <c r="C18" s="34">
        <v>0</v>
      </c>
      <c r="D18" s="35">
        <f t="shared" si="0"/>
        <v>5364365.7215311108</v>
      </c>
      <c r="E18" s="36">
        <v>0</v>
      </c>
      <c r="F18" s="35">
        <v>5364365.7215311108</v>
      </c>
      <c r="G18" s="37">
        <f t="shared" si="5"/>
        <v>1.2134962540326848E-2</v>
      </c>
      <c r="H18" s="38">
        <v>1</v>
      </c>
      <c r="I18" s="39">
        <f>$J$26*$J$27*H18</f>
        <v>8.4651014781446821E-2</v>
      </c>
      <c r="J18" s="35">
        <f>F18*I18</f>
        <v>454099.0019864167</v>
      </c>
      <c r="K18" s="35">
        <f>'Exh. JAP-6 Pages 2-6'!J179</f>
        <v>5520076.7100000009</v>
      </c>
      <c r="L18" s="36">
        <f t="shared" si="6"/>
        <v>155710.98846889008</v>
      </c>
      <c r="M18" s="40">
        <f t="shared" si="3"/>
        <v>2.9026915119509535E-2</v>
      </c>
      <c r="N18" s="5">
        <f t="shared" si="7"/>
        <v>2.9026915119509535E-2</v>
      </c>
      <c r="O18" s="36">
        <f t="shared" si="4"/>
        <v>-298388.01351752662</v>
      </c>
      <c r="P18" s="27"/>
      <c r="Q18" s="27"/>
      <c r="R18" s="27"/>
      <c r="S18" s="27"/>
    </row>
    <row r="19" spans="2:19" s="2" customFormat="1" x14ac:dyDescent="0.25">
      <c r="B19" s="41" t="s">
        <v>25</v>
      </c>
      <c r="C19" s="34">
        <v>37275691.68</v>
      </c>
      <c r="D19" s="35">
        <f t="shared" si="0"/>
        <v>1726553.2512827553</v>
      </c>
      <c r="E19" s="36">
        <v>0</v>
      </c>
      <c r="F19" s="35">
        <v>1726553.2512827553</v>
      </c>
      <c r="G19" s="37"/>
      <c r="H19" s="38"/>
      <c r="I19" s="39"/>
      <c r="J19" s="35">
        <f>F19*I19</f>
        <v>0</v>
      </c>
      <c r="K19" s="36">
        <v>1776637.0074217154</v>
      </c>
      <c r="L19" s="36">
        <f t="shared" si="6"/>
        <v>50083.756138960132</v>
      </c>
      <c r="M19" s="40">
        <f>L19/D19</f>
        <v>2.9007941748538622E-2</v>
      </c>
      <c r="N19" s="5">
        <f t="shared" si="7"/>
        <v>2.9007941748538622E-2</v>
      </c>
      <c r="O19" s="36"/>
      <c r="P19" s="27"/>
      <c r="Q19" s="27"/>
      <c r="R19" s="27"/>
      <c r="S19" s="27"/>
    </row>
    <row r="20" spans="2:19" x14ac:dyDescent="0.25">
      <c r="B20" s="1" t="s">
        <v>26</v>
      </c>
      <c r="C20" s="13">
        <f>SUM(C12:C19)</f>
        <v>1181770157.3769999</v>
      </c>
      <c r="D20" s="42">
        <f>SUM(D12:D19)</f>
        <v>745737555.13041711</v>
      </c>
      <c r="E20" s="43">
        <f>SUM(E12:E19)</f>
        <v>301952305.47160286</v>
      </c>
      <c r="F20" s="42">
        <f>SUM(F12:F19)</f>
        <v>443785249.65881401</v>
      </c>
      <c r="G20" s="44">
        <f>SUM(G12:G19)</f>
        <v>1</v>
      </c>
      <c r="H20" s="45"/>
      <c r="I20" s="45"/>
      <c r="J20" s="42">
        <f>SUM(J12:J19)</f>
        <v>37420717.243861049</v>
      </c>
      <c r="K20" s="43">
        <f>SUM(K12:K19)</f>
        <v>465446244.16800934</v>
      </c>
      <c r="L20" s="43">
        <f>SUM(L12:L19)</f>
        <v>21660994.509195309</v>
      </c>
      <c r="M20" s="46">
        <f t="shared" si="3"/>
        <v>2.9046404274768168E-2</v>
      </c>
      <c r="N20" s="47">
        <f t="shared" si="7"/>
        <v>4.8809631518506917E-2</v>
      </c>
      <c r="O20" s="43">
        <f>SUM(O12:O19)</f>
        <v>-15809806.490804702</v>
      </c>
      <c r="P20" s="27"/>
      <c r="Q20" s="27"/>
      <c r="R20" s="27"/>
      <c r="S20" s="27"/>
    </row>
    <row r="21" spans="2:19" x14ac:dyDescent="0.25">
      <c r="B21" s="33"/>
      <c r="C21" s="34"/>
      <c r="D21" s="35"/>
      <c r="E21" s="36"/>
      <c r="F21" s="35"/>
      <c r="G21" s="48"/>
      <c r="H21" s="48"/>
      <c r="I21" s="48"/>
      <c r="J21" s="35"/>
      <c r="K21" s="36"/>
      <c r="L21" s="36"/>
      <c r="M21" s="40"/>
      <c r="N21" s="5"/>
      <c r="O21" s="36"/>
      <c r="P21" s="27"/>
      <c r="Q21" s="27"/>
      <c r="R21" s="27"/>
      <c r="S21" s="27"/>
    </row>
    <row r="22" spans="2:19" x14ac:dyDescent="0.25">
      <c r="B22" s="33" t="s">
        <v>27</v>
      </c>
      <c r="C22" s="34"/>
      <c r="D22" s="35">
        <f t="shared" ref="D22" si="8">E22+F22</f>
        <v>5090448.3099999996</v>
      </c>
      <c r="E22" s="36">
        <v>0</v>
      </c>
      <c r="F22" s="49">
        <v>5090448.3099999996</v>
      </c>
      <c r="G22" s="48"/>
      <c r="H22" s="48"/>
      <c r="I22" s="48"/>
      <c r="J22" s="35"/>
      <c r="K22" s="36">
        <f>F22</f>
        <v>5090448.3099999996</v>
      </c>
      <c r="L22" s="36"/>
      <c r="M22" s="40">
        <f>L22/D22</f>
        <v>0</v>
      </c>
      <c r="N22" s="5">
        <f t="shared" si="7"/>
        <v>0</v>
      </c>
      <c r="O22" s="36"/>
      <c r="P22" s="27"/>
      <c r="Q22" s="27"/>
      <c r="R22" s="27"/>
      <c r="S22" s="27"/>
    </row>
    <row r="23" spans="2:19" x14ac:dyDescent="0.25">
      <c r="B23" s="33" t="s">
        <v>28</v>
      </c>
      <c r="C23" s="13">
        <f>SUM(C20:C22)</f>
        <v>1181770157.3769999</v>
      </c>
      <c r="D23" s="42">
        <f>SUM(D20:D22)</f>
        <v>750828003.44041705</v>
      </c>
      <c r="E23" s="43">
        <f>SUM(E20:E22)</f>
        <v>301952305.47160286</v>
      </c>
      <c r="F23" s="42">
        <f>SUM(F20:F22)</f>
        <v>448875697.96881402</v>
      </c>
      <c r="G23" s="45"/>
      <c r="H23" s="45"/>
      <c r="I23" s="45"/>
      <c r="J23" s="43">
        <f>SUM(J20:J22)</f>
        <v>37420717.243861049</v>
      </c>
      <c r="K23" s="43">
        <f>SUM(K20:K22)</f>
        <v>470536692.47800934</v>
      </c>
      <c r="L23" s="43">
        <f>SUM(L20:L22)</f>
        <v>21660994.509195309</v>
      </c>
      <c r="M23" s="46">
        <f>L23/D23</f>
        <v>2.8849476058353019E-2</v>
      </c>
      <c r="N23" s="47">
        <f>L23/F23</f>
        <v>4.8256108778471279E-2</v>
      </c>
      <c r="O23" s="43">
        <f>SUM(O20:O22)</f>
        <v>-15809806.490804702</v>
      </c>
      <c r="P23" s="27"/>
      <c r="Q23" s="27"/>
      <c r="R23" s="27"/>
      <c r="S23" s="27"/>
    </row>
    <row r="24" spans="2:19" x14ac:dyDescent="0.25">
      <c r="F24" s="2"/>
      <c r="G24" s="2"/>
      <c r="H24" s="2"/>
      <c r="I24" s="2"/>
      <c r="J24" s="36"/>
      <c r="K24" s="3"/>
      <c r="L24" s="3"/>
      <c r="M24" s="3"/>
      <c r="N24" s="2"/>
      <c r="O24" s="3"/>
      <c r="P24" s="27"/>
      <c r="Q24" s="27"/>
      <c r="R24" s="27"/>
      <c r="S24" s="27"/>
    </row>
    <row r="25" spans="2:19" x14ac:dyDescent="0.25">
      <c r="B25" s="33" t="s">
        <v>150</v>
      </c>
      <c r="F25" s="50"/>
      <c r="G25" s="50"/>
      <c r="H25" s="50"/>
      <c r="I25" s="50"/>
      <c r="J25" s="36">
        <v>37470801</v>
      </c>
      <c r="K25" s="51"/>
      <c r="L25" s="52"/>
      <c r="M25" s="52"/>
      <c r="N25" s="7"/>
      <c r="O25" s="53"/>
      <c r="P25" s="27"/>
      <c r="Q25" s="27"/>
      <c r="R25" s="27"/>
      <c r="S25" s="27"/>
    </row>
    <row r="26" spans="2:19" x14ac:dyDescent="0.25">
      <c r="B26" s="33" t="s">
        <v>154</v>
      </c>
      <c r="F26" s="50"/>
      <c r="G26" s="50"/>
      <c r="H26" s="50"/>
      <c r="I26" s="50"/>
      <c r="J26" s="40">
        <f>(J25-L19)/SUM(F12:F18)</f>
        <v>8.4651014781446821E-2</v>
      </c>
      <c r="K26" s="51"/>
      <c r="L26" s="52"/>
      <c r="M26" s="52"/>
      <c r="N26" s="7"/>
      <c r="O26" s="53"/>
      <c r="P26" s="27"/>
      <c r="Q26" s="27"/>
      <c r="R26" s="27"/>
      <c r="S26" s="27"/>
    </row>
    <row r="27" spans="2:19" x14ac:dyDescent="0.25">
      <c r="B27" s="33" t="s">
        <v>155</v>
      </c>
      <c r="F27" s="50"/>
      <c r="G27" s="50"/>
      <c r="H27" s="50"/>
      <c r="I27" s="50"/>
      <c r="J27" s="54">
        <f>1/SUMPRODUCT(G12:G18,H12:H18)</f>
        <v>1</v>
      </c>
      <c r="K27" s="51"/>
      <c r="L27" s="52"/>
      <c r="M27" s="52"/>
      <c r="N27" s="7"/>
      <c r="O27" s="53"/>
      <c r="P27" s="27"/>
      <c r="Q27" s="27"/>
      <c r="R27" s="27"/>
      <c r="S27" s="27"/>
    </row>
    <row r="28" spans="2:19" s="2" customFormat="1" x14ac:dyDescent="0.25">
      <c r="F28" s="3"/>
      <c r="G28" s="3"/>
      <c r="H28" s="3"/>
      <c r="I28" s="3"/>
      <c r="J28" s="3"/>
      <c r="P28" s="27"/>
      <c r="Q28" s="27"/>
      <c r="R28" s="27"/>
      <c r="S28" s="27"/>
    </row>
    <row r="29" spans="2:19" s="2" customFormat="1" x14ac:dyDescent="0.25">
      <c r="B29" s="41"/>
      <c r="F29" s="3"/>
      <c r="G29" s="3"/>
      <c r="H29" s="3"/>
      <c r="I29" s="3"/>
      <c r="J29" s="3"/>
      <c r="L29" s="3"/>
      <c r="P29" s="27"/>
      <c r="Q29" s="27"/>
      <c r="R29" s="27"/>
      <c r="S29" s="27"/>
    </row>
    <row r="30" spans="2:19" s="2" customFormat="1" x14ac:dyDescent="0.25">
      <c r="F30" s="3"/>
      <c r="G30" s="3"/>
      <c r="H30" s="3"/>
      <c r="I30" s="3"/>
      <c r="J30" s="3"/>
      <c r="P30" s="27"/>
      <c r="Q30" s="27"/>
      <c r="R30" s="27"/>
      <c r="S30" s="27"/>
    </row>
    <row r="31" spans="2:19" s="2" customFormat="1" x14ac:dyDescent="0.25">
      <c r="B31" s="2" t="s">
        <v>187</v>
      </c>
      <c r="P31" s="27"/>
      <c r="Q31" s="27"/>
      <c r="R31" s="27"/>
      <c r="S31" s="27"/>
    </row>
    <row r="32" spans="2:19" s="2" customFormat="1" x14ac:dyDescent="0.25">
      <c r="B32" s="41" t="s">
        <v>193</v>
      </c>
      <c r="F32" s="3"/>
      <c r="G32" s="3"/>
      <c r="H32" s="3"/>
      <c r="I32" s="3"/>
      <c r="J32" s="3"/>
      <c r="L32" s="3"/>
      <c r="M32" s="3"/>
      <c r="P32" s="27"/>
      <c r="Q32" s="27"/>
      <c r="R32" s="27"/>
      <c r="S32" s="27"/>
    </row>
    <row r="33" spans="2:19" s="2" customFormat="1" x14ac:dyDescent="0.25">
      <c r="B33" s="2" t="s">
        <v>188</v>
      </c>
      <c r="F33" s="4"/>
      <c r="G33" s="4"/>
      <c r="H33" s="4"/>
      <c r="I33" s="4"/>
      <c r="J33" s="4"/>
      <c r="K33" s="50"/>
      <c r="L33" s="55"/>
      <c r="M33" s="50"/>
      <c r="P33" s="27"/>
      <c r="Q33" s="27"/>
      <c r="R33" s="27"/>
      <c r="S33" s="27"/>
    </row>
    <row r="34" spans="2:19" s="2" customFormat="1" x14ac:dyDescent="0.25">
      <c r="B34" s="2" t="s">
        <v>192</v>
      </c>
      <c r="K34" s="3"/>
    </row>
    <row r="35" spans="2:19" s="2" customFormat="1" x14ac:dyDescent="0.25">
      <c r="D35" s="24"/>
    </row>
    <row r="36" spans="2:19" s="2" customFormat="1" x14ac:dyDescent="0.25"/>
    <row r="37" spans="2:19" s="2" customFormat="1" x14ac:dyDescent="0.25">
      <c r="F37" s="5"/>
      <c r="G37" s="5"/>
      <c r="H37" s="5"/>
      <c r="I37" s="5"/>
      <c r="J37" s="5"/>
    </row>
    <row r="38" spans="2:19" s="2" customFormat="1" x14ac:dyDescent="0.25"/>
    <row r="39" spans="2:19" s="2" customFormat="1" x14ac:dyDescent="0.25">
      <c r="B39" s="2" t="s">
        <v>29</v>
      </c>
    </row>
    <row r="40" spans="2:19" s="2" customFormat="1" x14ac:dyDescent="0.25"/>
    <row r="41" spans="2:19" s="2" customFormat="1" x14ac:dyDescent="0.25"/>
    <row r="42" spans="2:19" s="2" customFormat="1" x14ac:dyDescent="0.25"/>
    <row r="43" spans="2:19" s="2" customFormat="1" x14ac:dyDescent="0.25"/>
    <row r="44" spans="2:19" s="2" customFormat="1" x14ac:dyDescent="0.25"/>
    <row r="45" spans="2:19" s="2" customFormat="1" x14ac:dyDescent="0.25"/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scale="64" orientation="landscape" blackAndWhite="1" horizontalDpi="300" verticalDpi="3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239"/>
  <sheetViews>
    <sheetView topLeftCell="B1" zoomScaleNormal="100" workbookViewId="0">
      <pane xSplit="3" ySplit="7" topLeftCell="E92" activePane="bottomRight" state="frozen"/>
      <selection activeCell="E35" sqref="E35"/>
      <selection pane="topRight" activeCell="E35" sqref="E35"/>
      <selection pane="bottomLeft" activeCell="E35" sqref="E35"/>
      <selection pane="bottomRight" activeCell="C123" sqref="C123"/>
    </sheetView>
  </sheetViews>
  <sheetFormatPr defaultRowHeight="15" x14ac:dyDescent="0.25"/>
  <cols>
    <col min="1" max="1" width="3.140625" style="1" customWidth="1"/>
    <col min="2" max="2" width="6.7109375" style="1" customWidth="1"/>
    <col min="3" max="3" width="43.7109375" style="7" bestFit="1" customWidth="1"/>
    <col min="4" max="4" width="9.85546875" style="7" bestFit="1" customWidth="1"/>
    <col min="5" max="5" width="13.28515625" style="7" bestFit="1" customWidth="1"/>
    <col min="6" max="6" width="10.7109375" style="7" bestFit="1" customWidth="1"/>
    <col min="7" max="7" width="16" style="7" bestFit="1" customWidth="1"/>
    <col min="8" max="8" width="2.42578125" style="1" customWidth="1"/>
    <col min="9" max="9" width="10.7109375" style="1" bestFit="1" customWidth="1"/>
    <col min="10" max="10" width="16" style="1" bestFit="1" customWidth="1"/>
    <col min="11" max="11" width="2.42578125" style="1" customWidth="1"/>
    <col min="12" max="12" width="11.5703125" style="1" bestFit="1" customWidth="1"/>
    <col min="13" max="13" width="7.85546875" style="1" bestFit="1" customWidth="1"/>
    <col min="14" max="14" width="2.42578125" style="1" customWidth="1"/>
    <col min="15" max="15" width="14.85546875" style="1" bestFit="1" customWidth="1"/>
    <col min="16" max="16" width="2.42578125" style="1" customWidth="1"/>
    <col min="17" max="17" width="15.5703125" style="1" bestFit="1" customWidth="1"/>
    <col min="18" max="16384" width="9.140625" style="1"/>
  </cols>
  <sheetData>
    <row r="1" spans="2:29" x14ac:dyDescent="0.2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56"/>
      <c r="S1" s="56"/>
      <c r="T1" s="57"/>
      <c r="U1" s="56"/>
      <c r="V1" s="56"/>
      <c r="W1" s="56"/>
      <c r="X1" s="56"/>
      <c r="Y1" s="56"/>
      <c r="Z1" s="56"/>
      <c r="AA1" s="58"/>
      <c r="AB1" s="58"/>
      <c r="AC1" s="58"/>
    </row>
    <row r="2" spans="2:29" x14ac:dyDescent="0.25">
      <c r="B2" s="137" t="s">
        <v>184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56"/>
      <c r="S2" s="56"/>
      <c r="T2" s="57"/>
      <c r="U2" s="56"/>
      <c r="V2" s="56"/>
      <c r="W2" s="56"/>
      <c r="X2" s="56"/>
      <c r="Y2" s="56"/>
      <c r="Z2" s="56"/>
      <c r="AA2" s="58"/>
      <c r="AB2" s="58"/>
      <c r="AC2" s="58"/>
    </row>
    <row r="3" spans="2:29" x14ac:dyDescent="0.25">
      <c r="B3" s="137" t="s">
        <v>180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59"/>
      <c r="S3" s="56"/>
      <c r="T3" s="57"/>
      <c r="U3" s="56"/>
      <c r="V3" s="56"/>
      <c r="W3" s="56"/>
      <c r="X3" s="56"/>
      <c r="Y3" s="56"/>
      <c r="Z3" s="56"/>
      <c r="AA3" s="58"/>
      <c r="AB3" s="58"/>
      <c r="AC3" s="58"/>
    </row>
    <row r="4" spans="2:29" x14ac:dyDescent="0.25">
      <c r="B4" s="138" t="s">
        <v>186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60"/>
      <c r="S4" s="60"/>
      <c r="T4" s="61"/>
      <c r="U4" s="60"/>
      <c r="V4" s="60"/>
      <c r="W4" s="60"/>
      <c r="X4" s="60"/>
      <c r="Y4" s="60"/>
      <c r="Z4" s="60"/>
      <c r="AA4" s="62"/>
      <c r="AB4" s="62"/>
      <c r="AC4" s="62"/>
    </row>
    <row r="5" spans="2:29" x14ac:dyDescent="0.25">
      <c r="B5" s="63"/>
      <c r="C5" s="63"/>
      <c r="D5" s="63"/>
      <c r="E5" s="63"/>
      <c r="F5" s="63"/>
      <c r="G5" s="63"/>
      <c r="H5" s="64"/>
      <c r="I5" s="64"/>
      <c r="J5" s="64"/>
      <c r="K5" s="64"/>
      <c r="L5" s="64"/>
      <c r="M5" s="64"/>
      <c r="N5" s="64"/>
      <c r="O5" s="65"/>
      <c r="P5" s="65"/>
      <c r="Q5" s="65"/>
      <c r="R5" s="60"/>
      <c r="S5" s="60"/>
      <c r="T5" s="61"/>
      <c r="U5" s="60"/>
      <c r="V5" s="60"/>
      <c r="W5" s="60"/>
      <c r="X5" s="60"/>
      <c r="Y5" s="60"/>
      <c r="Z5" s="60"/>
      <c r="AA5" s="62"/>
      <c r="AB5" s="62"/>
      <c r="AC5" s="62"/>
    </row>
    <row r="6" spans="2:29" x14ac:dyDescent="0.25">
      <c r="C6" s="66"/>
      <c r="D6" s="66"/>
      <c r="E6" s="30" t="s">
        <v>30</v>
      </c>
      <c r="F6" s="67" t="s">
        <v>181</v>
      </c>
      <c r="G6" s="68"/>
      <c r="H6" s="69"/>
      <c r="I6" s="67" t="s">
        <v>144</v>
      </c>
      <c r="J6" s="68"/>
      <c r="K6" s="70"/>
      <c r="L6" s="67" t="s">
        <v>149</v>
      </c>
      <c r="M6" s="67"/>
      <c r="N6" s="15"/>
      <c r="O6" s="66" t="s">
        <v>175</v>
      </c>
      <c r="P6" s="66"/>
      <c r="Q6" s="66" t="s">
        <v>10</v>
      </c>
      <c r="R6" s="70"/>
      <c r="S6" s="70"/>
      <c r="T6" s="70"/>
      <c r="U6" s="70"/>
      <c r="V6" s="70"/>
      <c r="W6" s="70"/>
      <c r="X6" s="70"/>
      <c r="Y6" s="70"/>
      <c r="Z6" s="70"/>
    </row>
    <row r="7" spans="2:29" x14ac:dyDescent="0.25">
      <c r="B7" s="71"/>
      <c r="C7" s="31" t="s">
        <v>31</v>
      </c>
      <c r="D7" s="31" t="s">
        <v>32</v>
      </c>
      <c r="E7" s="32" t="s">
        <v>33</v>
      </c>
      <c r="F7" s="31" t="s">
        <v>34</v>
      </c>
      <c r="G7" s="72" t="s">
        <v>35</v>
      </c>
      <c r="H7" s="73"/>
      <c r="I7" s="32" t="s">
        <v>34</v>
      </c>
      <c r="J7" s="72" t="s">
        <v>35</v>
      </c>
      <c r="K7" s="70"/>
      <c r="L7" s="74" t="s">
        <v>13</v>
      </c>
      <c r="M7" s="75" t="s">
        <v>6</v>
      </c>
      <c r="N7" s="76"/>
      <c r="O7" s="31" t="s">
        <v>176</v>
      </c>
      <c r="P7" s="66"/>
      <c r="Q7" s="31" t="s">
        <v>149</v>
      </c>
      <c r="R7" s="70"/>
      <c r="S7" s="70"/>
      <c r="T7" s="70"/>
      <c r="U7" s="70"/>
      <c r="V7" s="70"/>
      <c r="W7" s="70"/>
      <c r="X7" s="70"/>
      <c r="Y7" s="70"/>
      <c r="Z7" s="70"/>
    </row>
    <row r="8" spans="2:29" x14ac:dyDescent="0.25">
      <c r="B8" s="77" t="s">
        <v>36</v>
      </c>
      <c r="C8" s="1"/>
      <c r="D8" s="77"/>
      <c r="E8" s="8"/>
      <c r="F8" s="8"/>
      <c r="G8" s="9"/>
      <c r="H8" s="78"/>
      <c r="I8" s="8"/>
      <c r="J8" s="9"/>
      <c r="K8" s="70"/>
      <c r="L8" s="70"/>
      <c r="M8" s="70"/>
      <c r="N8" s="76"/>
      <c r="O8" s="70"/>
      <c r="P8" s="76"/>
      <c r="R8" s="70"/>
      <c r="S8" s="70"/>
      <c r="T8" s="70"/>
      <c r="U8" s="70"/>
      <c r="V8" s="70"/>
      <c r="W8" s="70"/>
      <c r="X8" s="70"/>
      <c r="Y8" s="70"/>
      <c r="Z8" s="70"/>
    </row>
    <row r="9" spans="2:29" x14ac:dyDescent="0.25">
      <c r="C9" s="79" t="s">
        <v>37</v>
      </c>
      <c r="D9" s="79" t="s">
        <v>38</v>
      </c>
      <c r="E9" s="17">
        <v>9329676.0139058214</v>
      </c>
      <c r="F9" s="80">
        <v>11</v>
      </c>
      <c r="G9" s="9">
        <f>ROUND(SUM(+$E9*F9),2)</f>
        <v>102626436.15000001</v>
      </c>
      <c r="H9" s="78"/>
      <c r="I9" s="80">
        <f>ROUND(F9*(1+Q14),2)</f>
        <v>11.52</v>
      </c>
      <c r="J9" s="9">
        <f>SUM(+$E9*I9)</f>
        <v>107477867.68019506</v>
      </c>
      <c r="K9" s="70"/>
      <c r="L9" s="81">
        <f>J9-G9</f>
        <v>4851431.5301950574</v>
      </c>
      <c r="M9" s="82">
        <f>IF(G9&lt;&gt;0,L9/G9,0)</f>
        <v>4.7272727302974334E-2</v>
      </c>
      <c r="N9" s="82"/>
      <c r="O9" s="83">
        <f>I9-F9</f>
        <v>0.51999999999999957</v>
      </c>
      <c r="P9" s="70"/>
      <c r="Q9" s="84" t="s">
        <v>159</v>
      </c>
      <c r="R9" s="70"/>
      <c r="S9" s="70"/>
      <c r="T9" s="70"/>
      <c r="U9" s="70"/>
      <c r="V9" s="70"/>
      <c r="W9" s="70"/>
      <c r="X9" s="70"/>
      <c r="Y9" s="70"/>
      <c r="Z9" s="70"/>
    </row>
    <row r="10" spans="2:29" x14ac:dyDescent="0.25">
      <c r="C10" s="7" t="s">
        <v>39</v>
      </c>
      <c r="D10" s="7" t="s">
        <v>40</v>
      </c>
      <c r="E10" s="17">
        <v>603105552.93699992</v>
      </c>
      <c r="F10" s="85">
        <v>0.34603</v>
      </c>
      <c r="G10" s="9">
        <f>ROUND($E10*F10,2)</f>
        <v>208692614.47999999</v>
      </c>
      <c r="H10" s="7"/>
      <c r="I10" s="85">
        <f>ROUND(F10*(1+Q14),5)</f>
        <v>0.36247000000000001</v>
      </c>
      <c r="J10" s="9">
        <f>ROUND($E10*I10,2)</f>
        <v>218607669.77000001</v>
      </c>
      <c r="L10" s="81">
        <f>J10-G10</f>
        <v>9915055.2900000215</v>
      </c>
      <c r="M10" s="82">
        <f>IF(G10&lt;&gt;0,L10/G10,0)</f>
        <v>4.7510331473422741E-2</v>
      </c>
      <c r="N10" s="82"/>
      <c r="O10" s="86">
        <f>I10-F10</f>
        <v>1.644000000000001E-2</v>
      </c>
      <c r="Q10" s="87">
        <f>'Exh. JAP-6 Page 1'!J12</f>
        <v>26353903.327770624</v>
      </c>
    </row>
    <row r="11" spans="2:29" x14ac:dyDescent="0.25">
      <c r="C11" s="88" t="s">
        <v>41</v>
      </c>
      <c r="D11" s="88"/>
      <c r="E11" s="17"/>
      <c r="F11" s="8"/>
      <c r="G11" s="14">
        <f>SUM(G9:G10)</f>
        <v>311319050.63</v>
      </c>
      <c r="H11" s="7"/>
      <c r="I11" s="8"/>
      <c r="J11" s="14">
        <f>SUM(J9:J10)</f>
        <v>326085537.45019507</v>
      </c>
      <c r="L11" s="14">
        <f>SUM(L9:L10)</f>
        <v>14766486.820195079</v>
      </c>
      <c r="M11" s="82">
        <f>IF(G11&lt;&gt;0,L11/G11,0)</f>
        <v>4.7432005173833454E-2</v>
      </c>
      <c r="N11" s="82"/>
      <c r="Q11" s="89" t="s">
        <v>151</v>
      </c>
    </row>
    <row r="12" spans="2:29" x14ac:dyDescent="0.25">
      <c r="C12" s="88"/>
      <c r="D12" s="88"/>
      <c r="E12" s="17"/>
      <c r="F12" s="8"/>
      <c r="G12" s="9"/>
      <c r="H12" s="90"/>
      <c r="I12" s="8"/>
      <c r="J12" s="9"/>
      <c r="Q12" s="91">
        <f>L11+L16+L19-Q10</f>
        <v>-11587175.500856435</v>
      </c>
      <c r="T12" s="7"/>
    </row>
    <row r="13" spans="2:29" x14ac:dyDescent="0.25">
      <c r="B13" s="92" t="s">
        <v>42</v>
      </c>
      <c r="C13" s="1"/>
      <c r="D13" s="92"/>
      <c r="E13" s="8"/>
      <c r="F13" s="8"/>
      <c r="G13" s="9"/>
      <c r="H13" s="7"/>
      <c r="I13" s="8"/>
      <c r="J13" s="9"/>
      <c r="Q13" s="89" t="s">
        <v>153</v>
      </c>
      <c r="T13" s="7"/>
    </row>
    <row r="14" spans="2:29" s="2" customFormat="1" x14ac:dyDescent="0.25">
      <c r="C14" s="79" t="s">
        <v>37</v>
      </c>
      <c r="D14" s="79" t="s">
        <v>38</v>
      </c>
      <c r="E14" s="17">
        <v>7.5321521335807056</v>
      </c>
      <c r="F14" s="80">
        <f>F9</f>
        <v>11</v>
      </c>
      <c r="G14" s="93">
        <f>SUM($E14*F14)</f>
        <v>82.853673469387758</v>
      </c>
      <c r="H14" s="94"/>
      <c r="I14" s="80">
        <f>I9</f>
        <v>11.52</v>
      </c>
      <c r="J14" s="93">
        <f>SUM($E14*I14)</f>
        <v>86.770392578849723</v>
      </c>
      <c r="L14" s="81">
        <f t="shared" ref="L14:L16" si="0">J14-G14</f>
        <v>3.9167191094619653</v>
      </c>
      <c r="M14" s="82">
        <f t="shared" ref="M14:M16" si="1">IF(G14&lt;&gt;0,L14/G14,0)</f>
        <v>4.7272727272727258E-2</v>
      </c>
      <c r="N14" s="82"/>
      <c r="O14" s="83">
        <f>I14-F14</f>
        <v>0.51999999999999957</v>
      </c>
      <c r="Q14" s="95">
        <v>4.7521822999836899E-2</v>
      </c>
      <c r="T14" s="8"/>
    </row>
    <row r="15" spans="2:29" s="2" customFormat="1" x14ac:dyDescent="0.25">
      <c r="C15" s="7" t="s">
        <v>39</v>
      </c>
      <c r="D15" s="7" t="s">
        <v>40</v>
      </c>
      <c r="E15" s="17">
        <v>295.27300000000002</v>
      </c>
      <c r="F15" s="85">
        <f>F10</f>
        <v>0.34603</v>
      </c>
      <c r="G15" s="93">
        <f>ROUND($E15*F15,2)</f>
        <v>102.17</v>
      </c>
      <c r="H15" s="94"/>
      <c r="I15" s="85">
        <f>I10</f>
        <v>0.36247000000000001</v>
      </c>
      <c r="J15" s="93">
        <f>ROUND($E15*I15,2)</f>
        <v>107.03</v>
      </c>
      <c r="L15" s="96">
        <f t="shared" si="0"/>
        <v>4.8599999999999994</v>
      </c>
      <c r="M15" s="82">
        <f t="shared" si="1"/>
        <v>4.7567779191543501E-2</v>
      </c>
      <c r="N15" s="82"/>
      <c r="O15" s="86">
        <f>I15-F15</f>
        <v>1.644000000000001E-2</v>
      </c>
      <c r="T15" s="8"/>
    </row>
    <row r="16" spans="2:29" s="2" customFormat="1" x14ac:dyDescent="0.25">
      <c r="C16" s="88" t="s">
        <v>41</v>
      </c>
      <c r="D16" s="79"/>
      <c r="E16" s="17"/>
      <c r="F16" s="8"/>
      <c r="G16" s="14">
        <f>SUM(G14:G15)</f>
        <v>185.02367346938775</v>
      </c>
      <c r="H16" s="8"/>
      <c r="I16" s="8"/>
      <c r="J16" s="14">
        <f>SUM(J14:J15)</f>
        <v>193.80039257884971</v>
      </c>
      <c r="L16" s="81">
        <f t="shared" si="0"/>
        <v>8.7767191094619648</v>
      </c>
      <c r="M16" s="82">
        <f t="shared" si="1"/>
        <v>4.7435654826700202E-2</v>
      </c>
      <c r="N16" s="82"/>
      <c r="T16" s="8"/>
    </row>
    <row r="17" spans="2:20" s="2" customFormat="1" x14ac:dyDescent="0.25">
      <c r="C17" s="97"/>
      <c r="D17" s="97"/>
      <c r="E17" s="8"/>
      <c r="F17" s="8"/>
      <c r="G17" s="93"/>
      <c r="H17" s="8"/>
      <c r="I17" s="8"/>
      <c r="J17" s="93"/>
      <c r="T17" s="8"/>
    </row>
    <row r="18" spans="2:20" x14ac:dyDescent="0.25">
      <c r="B18" s="92" t="s">
        <v>43</v>
      </c>
      <c r="C18" s="1"/>
      <c r="D18" s="77"/>
      <c r="E18" s="8"/>
      <c r="G18" s="9"/>
      <c r="H18" s="7"/>
      <c r="I18" s="8"/>
      <c r="J18" s="9"/>
      <c r="T18" s="7"/>
    </row>
    <row r="19" spans="2:20" x14ac:dyDescent="0.25">
      <c r="C19" s="88" t="s">
        <v>41</v>
      </c>
      <c r="D19" s="98" t="s">
        <v>44</v>
      </c>
      <c r="E19" s="17">
        <v>504.84447368421053</v>
      </c>
      <c r="F19" s="80">
        <v>9.69</v>
      </c>
      <c r="G19" s="9">
        <f>ROUND($E19*F19,2)</f>
        <v>4891.9399999999996</v>
      </c>
      <c r="H19" s="99"/>
      <c r="I19" s="80">
        <f>ROUND(F19*(1+Q14),2)</f>
        <v>10.15</v>
      </c>
      <c r="J19" s="9">
        <f>ROUND($E19*I19,2)</f>
        <v>5124.17</v>
      </c>
      <c r="L19" s="81">
        <f>J19-G19</f>
        <v>232.23000000000047</v>
      </c>
      <c r="M19" s="82">
        <f>IF(G19&lt;&gt;0,L19/G19,0)</f>
        <v>4.747196408786708E-2</v>
      </c>
      <c r="N19" s="82"/>
      <c r="O19" s="83">
        <f>I19-F19</f>
        <v>0.46000000000000085</v>
      </c>
      <c r="T19" s="7"/>
    </row>
    <row r="20" spans="2:20" x14ac:dyDescent="0.25">
      <c r="C20" s="88" t="s">
        <v>40</v>
      </c>
      <c r="D20" s="98"/>
      <c r="E20" s="17">
        <f>E19*19</f>
        <v>9592.0450000000001</v>
      </c>
      <c r="F20" s="80"/>
      <c r="G20" s="9"/>
      <c r="H20" s="99"/>
      <c r="I20" s="80"/>
      <c r="J20" s="9"/>
      <c r="L20" s="81"/>
      <c r="M20" s="82"/>
      <c r="N20" s="82"/>
      <c r="T20" s="7"/>
    </row>
    <row r="21" spans="2:20" x14ac:dyDescent="0.25">
      <c r="E21" s="8"/>
      <c r="G21" s="9"/>
      <c r="H21" s="99"/>
      <c r="I21" s="8"/>
      <c r="J21" s="9"/>
      <c r="T21" s="7"/>
    </row>
    <row r="22" spans="2:20" s="101" customFormat="1" x14ac:dyDescent="0.25">
      <c r="B22" s="100" t="s">
        <v>45</v>
      </c>
      <c r="D22" s="102"/>
      <c r="E22" s="103"/>
      <c r="F22" s="103"/>
      <c r="G22" s="104"/>
      <c r="H22" s="105"/>
      <c r="I22" s="103"/>
      <c r="J22" s="104"/>
    </row>
    <row r="23" spans="2:20" s="101" customFormat="1" x14ac:dyDescent="0.25">
      <c r="C23" s="106" t="s">
        <v>37</v>
      </c>
      <c r="D23" s="106" t="s">
        <v>38</v>
      </c>
      <c r="E23" s="107">
        <v>689698.95172727259</v>
      </c>
      <c r="F23" s="80">
        <v>32.159999999999997</v>
      </c>
      <c r="G23" s="108">
        <f>ROUND($E23*F23,2)</f>
        <v>22180718.289999999</v>
      </c>
      <c r="H23" s="105"/>
      <c r="I23" s="80">
        <f>ROUND(F23*(1+Q29),2)</f>
        <v>33.840000000000003</v>
      </c>
      <c r="J23" s="108">
        <f>ROUND($E23*I23,2)</f>
        <v>23339412.530000001</v>
      </c>
      <c r="L23" s="81">
        <f t="shared" ref="L23:L24" si="2">J23-G23</f>
        <v>1158694.2400000021</v>
      </c>
      <c r="M23" s="82">
        <f t="shared" ref="M23:M26" si="3">IF(G23&lt;&gt;0,L23/G23,0)</f>
        <v>5.2238806013887758E-2</v>
      </c>
      <c r="N23" s="82"/>
      <c r="O23" s="83">
        <f>I23-F23</f>
        <v>1.6800000000000068</v>
      </c>
      <c r="Q23" s="84" t="s">
        <v>160</v>
      </c>
    </row>
    <row r="24" spans="2:20" s="101" customFormat="1" x14ac:dyDescent="0.25">
      <c r="C24" s="109" t="s">
        <v>39</v>
      </c>
      <c r="D24" s="109" t="s">
        <v>40</v>
      </c>
      <c r="E24" s="107">
        <v>228604732.46999997</v>
      </c>
      <c r="F24" s="110">
        <v>0.29475000000000001</v>
      </c>
      <c r="G24" s="108">
        <f>ROUND($E24*F24,2)</f>
        <v>67381244.900000006</v>
      </c>
      <c r="H24" s="105"/>
      <c r="I24" s="85">
        <f>ROUND(F24*(1+Q29),5)</f>
        <v>0.31011</v>
      </c>
      <c r="J24" s="108">
        <f>ROUND($E24*I24,2)</f>
        <v>70892613.590000004</v>
      </c>
      <c r="L24" s="81">
        <f t="shared" si="2"/>
        <v>3511368.6899999976</v>
      </c>
      <c r="M24" s="82">
        <f t="shared" si="3"/>
        <v>5.2111959273106238E-2</v>
      </c>
      <c r="N24" s="82"/>
      <c r="O24" s="86">
        <f>I24-F24</f>
        <v>1.5359999999999985E-2</v>
      </c>
      <c r="Q24" s="87">
        <f>'Exh. JAP-6 Page 1'!J13</f>
        <v>7754383.6320870472</v>
      </c>
    </row>
    <row r="25" spans="2:20" s="101" customFormat="1" x14ac:dyDescent="0.25">
      <c r="C25" s="109" t="s">
        <v>47</v>
      </c>
      <c r="D25" s="109" t="s">
        <v>40</v>
      </c>
      <c r="E25" s="107">
        <v>228604732.46999997</v>
      </c>
      <c r="F25" s="110">
        <v>8.8199999999999997E-3</v>
      </c>
      <c r="G25" s="108">
        <f>ROUND($E25*F25,2)</f>
        <v>2016293.74</v>
      </c>
      <c r="H25" s="105"/>
      <c r="I25" s="85">
        <f>ROUND(F25*(1+Q29),5)</f>
        <v>9.2800000000000001E-3</v>
      </c>
      <c r="J25" s="108">
        <f>ROUND($E25*I25,2)</f>
        <v>2121451.92</v>
      </c>
      <c r="L25" s="96">
        <f>J25-G25</f>
        <v>105158.17999999993</v>
      </c>
      <c r="M25" s="82">
        <f t="shared" si="3"/>
        <v>5.2154196540827397E-2</v>
      </c>
      <c r="N25" s="82"/>
      <c r="O25" s="86">
        <f>I25-F25</f>
        <v>4.6000000000000034E-4</v>
      </c>
      <c r="Q25" s="87"/>
    </row>
    <row r="26" spans="2:20" s="101" customFormat="1" x14ac:dyDescent="0.25">
      <c r="C26" s="88" t="s">
        <v>41</v>
      </c>
      <c r="D26" s="102"/>
      <c r="E26" s="107"/>
      <c r="F26" s="107"/>
      <c r="G26" s="111">
        <f>SUM(G23:G25)</f>
        <v>91578256.929999992</v>
      </c>
      <c r="H26" s="105"/>
      <c r="I26" s="107"/>
      <c r="J26" s="111">
        <f>SUM(J23:J25)</f>
        <v>96353478.040000007</v>
      </c>
      <c r="L26" s="81">
        <f>J26-G26</f>
        <v>4775221.1100000143</v>
      </c>
      <c r="M26" s="82">
        <f t="shared" si="3"/>
        <v>5.214361214201825E-2</v>
      </c>
      <c r="N26" s="82"/>
      <c r="Q26" s="89" t="s">
        <v>151</v>
      </c>
    </row>
    <row r="27" spans="2:20" s="101" customFormat="1" x14ac:dyDescent="0.25">
      <c r="C27" s="109"/>
      <c r="D27" s="109"/>
      <c r="E27" s="103"/>
      <c r="F27" s="107"/>
      <c r="G27" s="108"/>
      <c r="H27" s="105"/>
      <c r="I27" s="107"/>
      <c r="J27" s="108"/>
      <c r="Q27" s="91">
        <f>L26+L32+L36-Q24</f>
        <v>-2977813.4120870326</v>
      </c>
    </row>
    <row r="28" spans="2:20" s="101" customFormat="1" x14ac:dyDescent="0.25">
      <c r="B28" s="112" t="s">
        <v>46</v>
      </c>
      <c r="D28" s="102"/>
      <c r="E28" s="103"/>
      <c r="F28" s="103"/>
      <c r="G28" s="104"/>
      <c r="H28" s="105"/>
      <c r="I28" s="103"/>
      <c r="J28" s="104"/>
      <c r="L28" s="109"/>
      <c r="Q28" s="89" t="s">
        <v>153</v>
      </c>
    </row>
    <row r="29" spans="2:20" s="101" customFormat="1" x14ac:dyDescent="0.25">
      <c r="B29" s="109"/>
      <c r="C29" s="106" t="s">
        <v>37</v>
      </c>
      <c r="D29" s="106" t="s">
        <v>38</v>
      </c>
      <c r="E29" s="107">
        <v>37.000031241542246</v>
      </c>
      <c r="F29" s="80">
        <v>353.77</v>
      </c>
      <c r="G29" s="108">
        <f>ROUND($E29*F29,2)</f>
        <v>13089.5</v>
      </c>
      <c r="H29" s="105"/>
      <c r="I29" s="80">
        <f>ROUND(F29*(1+Q29),2)</f>
        <v>372.21</v>
      </c>
      <c r="J29" s="108">
        <f>ROUND($E29*I29,2)</f>
        <v>13771.78</v>
      </c>
      <c r="L29" s="78">
        <f t="shared" ref="L29:L32" si="4">J29-G29</f>
        <v>682.28000000000065</v>
      </c>
      <c r="M29" s="82">
        <f t="shared" ref="M29:M32" si="5">IF(G29&lt;&gt;0,L29/G29,0)</f>
        <v>5.2124221704419625E-2</v>
      </c>
      <c r="N29" s="82"/>
      <c r="O29" s="83">
        <f>I29-F29</f>
        <v>18.439999999999998</v>
      </c>
      <c r="Q29" s="95">
        <v>5.2128567503811798E-2</v>
      </c>
    </row>
    <row r="30" spans="2:20" s="101" customFormat="1" x14ac:dyDescent="0.25">
      <c r="B30" s="109"/>
      <c r="C30" s="109" t="s">
        <v>39</v>
      </c>
      <c r="D30" s="109" t="s">
        <v>40</v>
      </c>
      <c r="E30" s="107">
        <v>43413.770000000004</v>
      </c>
      <c r="F30" s="110">
        <v>0.29475000000000001</v>
      </c>
      <c r="G30" s="108">
        <f>ROUND($E30*F30,2)</f>
        <v>12796.21</v>
      </c>
      <c r="H30" s="105"/>
      <c r="I30" s="110">
        <f>I24</f>
        <v>0.31011</v>
      </c>
      <c r="J30" s="108">
        <f>ROUND($E30*I30,2)</f>
        <v>13463.04</v>
      </c>
      <c r="L30" s="81">
        <f t="shared" si="4"/>
        <v>666.83000000000175</v>
      </c>
      <c r="M30" s="82">
        <f t="shared" si="5"/>
        <v>5.2111523646454834E-2</v>
      </c>
      <c r="N30" s="82"/>
      <c r="O30" s="86">
        <f t="shared" ref="O30" si="6">I30-F30</f>
        <v>1.5359999999999985E-2</v>
      </c>
    </row>
    <row r="31" spans="2:20" s="101" customFormat="1" x14ac:dyDescent="0.25">
      <c r="B31" s="109"/>
      <c r="C31" s="106" t="s">
        <v>47</v>
      </c>
      <c r="D31" s="109" t="s">
        <v>40</v>
      </c>
      <c r="E31" s="107">
        <v>43413.770000000004</v>
      </c>
      <c r="F31" s="110">
        <v>0</v>
      </c>
      <c r="G31" s="108">
        <f>ROUND($E31*F31,2)</f>
        <v>0</v>
      </c>
      <c r="H31" s="105"/>
      <c r="I31" s="85">
        <f>ROUND(F31*(1+Q31),5)</f>
        <v>0</v>
      </c>
      <c r="J31" s="108">
        <f>ROUND($E31*I31,2)</f>
        <v>0</v>
      </c>
      <c r="L31" s="96">
        <f t="shared" si="4"/>
        <v>0</v>
      </c>
      <c r="M31" s="82">
        <f>IF(G31&lt;&gt;0,L31/G31,0)</f>
        <v>0</v>
      </c>
      <c r="N31" s="82"/>
      <c r="O31" s="86">
        <f>I31-F31</f>
        <v>0</v>
      </c>
    </row>
    <row r="32" spans="2:20" s="101" customFormat="1" x14ac:dyDescent="0.25">
      <c r="C32" s="88" t="s">
        <v>41</v>
      </c>
      <c r="D32" s="102"/>
      <c r="E32" s="107"/>
      <c r="F32" s="107"/>
      <c r="G32" s="111">
        <f>SUM(G29:G31)</f>
        <v>25885.71</v>
      </c>
      <c r="H32" s="105"/>
      <c r="I32" s="107"/>
      <c r="J32" s="111">
        <f>SUM(J29:J31)</f>
        <v>27234.82</v>
      </c>
      <c r="L32" s="81">
        <f t="shared" si="4"/>
        <v>1349.1100000000006</v>
      </c>
      <c r="M32" s="82">
        <f t="shared" si="5"/>
        <v>5.2117944611138757E-2</v>
      </c>
      <c r="N32" s="82"/>
    </row>
    <row r="33" spans="2:17" s="101" customFormat="1" x14ac:dyDescent="0.25">
      <c r="B33" s="109"/>
      <c r="C33" s="109"/>
      <c r="D33" s="109"/>
      <c r="E33" s="103"/>
      <c r="F33" s="113"/>
      <c r="G33" s="114"/>
      <c r="H33" s="105"/>
      <c r="I33" s="113"/>
      <c r="J33" s="114"/>
    </row>
    <row r="34" spans="2:17" s="101" customFormat="1" x14ac:dyDescent="0.25">
      <c r="B34" s="112" t="s">
        <v>48</v>
      </c>
      <c r="D34" s="102"/>
      <c r="E34" s="103"/>
      <c r="F34" s="103"/>
      <c r="G34" s="104"/>
      <c r="H34" s="105"/>
      <c r="I34" s="103"/>
      <c r="J34" s="104"/>
    </row>
    <row r="35" spans="2:17" s="101" customFormat="1" x14ac:dyDescent="0.25">
      <c r="C35" s="109" t="s">
        <v>49</v>
      </c>
      <c r="D35" s="109"/>
      <c r="E35" s="107">
        <v>0</v>
      </c>
      <c r="F35" s="115">
        <v>0.1</v>
      </c>
      <c r="G35" s="104">
        <f>ROUND($E35*F35,2)</f>
        <v>0</v>
      </c>
      <c r="H35" s="105"/>
      <c r="I35" s="115">
        <f>ROUND(F35*(1+Q29),2)</f>
        <v>0.11</v>
      </c>
      <c r="J35" s="104">
        <f>ROUND($E35*I35,2)</f>
        <v>0</v>
      </c>
      <c r="L35" s="96">
        <f t="shared" ref="L35:L36" si="7">J35-G35</f>
        <v>0</v>
      </c>
      <c r="M35" s="82">
        <f t="shared" ref="M35:M36" si="8">IF(G35&lt;&gt;0,L35/G35,0)</f>
        <v>0</v>
      </c>
      <c r="N35" s="82"/>
      <c r="O35" s="83">
        <f>I35-F35</f>
        <v>9.999999999999995E-3</v>
      </c>
    </row>
    <row r="36" spans="2:17" s="101" customFormat="1" x14ac:dyDescent="0.25">
      <c r="C36" s="88" t="s">
        <v>41</v>
      </c>
      <c r="D36" s="102"/>
      <c r="E36" s="107"/>
      <c r="F36" s="107"/>
      <c r="G36" s="116">
        <f>SUM(G35:G35)</f>
        <v>0</v>
      </c>
      <c r="H36" s="105"/>
      <c r="I36" s="107"/>
      <c r="J36" s="116">
        <f>SUM(J35:J35)</f>
        <v>0</v>
      </c>
      <c r="L36" s="81">
        <f t="shared" si="7"/>
        <v>0</v>
      </c>
      <c r="M36" s="82">
        <f t="shared" si="8"/>
        <v>0</v>
      </c>
      <c r="N36" s="82"/>
    </row>
    <row r="37" spans="2:17" s="101" customFormat="1" x14ac:dyDescent="0.25">
      <c r="C37" s="103"/>
      <c r="D37" s="109"/>
      <c r="E37" s="103"/>
      <c r="F37" s="103"/>
      <c r="G37" s="104"/>
      <c r="H37" s="105"/>
      <c r="I37" s="103"/>
      <c r="J37" s="104"/>
    </row>
    <row r="38" spans="2:17" s="101" customFormat="1" x14ac:dyDescent="0.25">
      <c r="B38" s="112" t="s">
        <v>50</v>
      </c>
      <c r="D38" s="102"/>
      <c r="E38" s="103"/>
      <c r="F38" s="103"/>
      <c r="G38" s="104"/>
      <c r="H38" s="105"/>
      <c r="I38" s="103"/>
      <c r="J38" s="104"/>
    </row>
    <row r="39" spans="2:17" s="101" customFormat="1" x14ac:dyDescent="0.25">
      <c r="C39" s="106" t="s">
        <v>37</v>
      </c>
      <c r="D39" s="106" t="s">
        <v>38</v>
      </c>
      <c r="E39" s="107">
        <v>15757.12870224839</v>
      </c>
      <c r="F39" s="80">
        <v>106.43</v>
      </c>
      <c r="G39" s="104">
        <f>ROUND($E39*F39,2)</f>
        <v>1677031.21</v>
      </c>
      <c r="H39" s="105"/>
      <c r="I39" s="80">
        <f>ROUND(F39*(1+Q44),2)</f>
        <v>112.34</v>
      </c>
      <c r="J39" s="104">
        <f>ROUND($E39*I39,2)</f>
        <v>1770155.84</v>
      </c>
      <c r="L39" s="81">
        <f t="shared" ref="L39:L41" si="9">J39-G39</f>
        <v>93124.630000000121</v>
      </c>
      <c r="M39" s="82">
        <f t="shared" ref="M39:M41" si="10">IF(G39&lt;&gt;0,L39/G39,0)</f>
        <v>5.5529455531122839E-2</v>
      </c>
      <c r="N39" s="82"/>
      <c r="O39" s="83">
        <f>I39-F39</f>
        <v>5.9099999999999966</v>
      </c>
      <c r="Q39" s="84" t="s">
        <v>161</v>
      </c>
    </row>
    <row r="40" spans="2:17" s="101" customFormat="1" x14ac:dyDescent="0.25">
      <c r="C40" s="103" t="s">
        <v>51</v>
      </c>
      <c r="D40" s="106" t="s">
        <v>38</v>
      </c>
      <c r="E40" s="107">
        <f>E39</f>
        <v>15757.12870224839</v>
      </c>
      <c r="F40" s="115">
        <v>115.88</v>
      </c>
      <c r="G40" s="104">
        <f>ROUND($E40*F40,2)</f>
        <v>1825936.07</v>
      </c>
      <c r="H40" s="105"/>
      <c r="I40" s="115">
        <f>ROUND(I45*900,2)</f>
        <v>122.32</v>
      </c>
      <c r="J40" s="104">
        <f>ROUND($E40*I40,2)</f>
        <v>1927411.98</v>
      </c>
      <c r="L40" s="81">
        <f t="shared" si="9"/>
        <v>101475.90999999992</v>
      </c>
      <c r="M40" s="82">
        <f t="shared" si="10"/>
        <v>5.5574733238059046E-2</v>
      </c>
      <c r="N40" s="82"/>
      <c r="O40" s="83">
        <f>I40-F40</f>
        <v>6.4399999999999977</v>
      </c>
      <c r="Q40" s="87">
        <f>'Exh. JAP-6 Page 1'!J14</f>
        <v>1561963.6830049227</v>
      </c>
    </row>
    <row r="41" spans="2:17" s="101" customFormat="1" x14ac:dyDescent="0.25">
      <c r="C41" s="103" t="s">
        <v>52</v>
      </c>
      <c r="D41" s="109" t="s">
        <v>49</v>
      </c>
      <c r="E41" s="107">
        <v>3902427.7730000005</v>
      </c>
      <c r="F41" s="115">
        <v>1.17</v>
      </c>
      <c r="G41" s="104">
        <f>ROUND($E41*F41,2)</f>
        <v>4565840.49</v>
      </c>
      <c r="H41" s="105"/>
      <c r="I41" s="115">
        <f>ROUND(F41*(1+$Q$44),2)+0.01</f>
        <v>1.25</v>
      </c>
      <c r="J41" s="104">
        <f>ROUND($E41*I41,2)</f>
        <v>4878034.72</v>
      </c>
      <c r="L41" s="81">
        <f t="shared" si="9"/>
        <v>312194.22999999952</v>
      </c>
      <c r="M41" s="82">
        <f t="shared" si="10"/>
        <v>6.8376070229295177E-2</v>
      </c>
      <c r="N41" s="82"/>
      <c r="O41" s="83">
        <f>I41-F41</f>
        <v>8.0000000000000071E-2</v>
      </c>
      <c r="Q41" s="89" t="s">
        <v>151</v>
      </c>
    </row>
    <row r="42" spans="2:17" s="101" customFormat="1" x14ac:dyDescent="0.25">
      <c r="C42" s="103"/>
      <c r="D42" s="109"/>
      <c r="E42" s="107"/>
      <c r="F42" s="115"/>
      <c r="G42" s="114"/>
      <c r="H42" s="105"/>
      <c r="I42" s="115"/>
      <c r="J42" s="114"/>
      <c r="Q42" s="91">
        <f>L50+L63-Q40</f>
        <v>-484595.42300492479</v>
      </c>
    </row>
    <row r="43" spans="2:17" s="101" customFormat="1" x14ac:dyDescent="0.25">
      <c r="C43" s="103" t="s">
        <v>53</v>
      </c>
      <c r="D43" s="109"/>
      <c r="E43" s="107"/>
      <c r="F43" s="115"/>
      <c r="G43" s="114"/>
      <c r="H43" s="105"/>
      <c r="I43" s="115"/>
      <c r="J43" s="114"/>
      <c r="Q43" s="89" t="s">
        <v>153</v>
      </c>
    </row>
    <row r="44" spans="2:17" s="101" customFormat="1" x14ac:dyDescent="0.25">
      <c r="C44" s="103" t="s">
        <v>54</v>
      </c>
      <c r="D44" s="109" t="s">
        <v>40</v>
      </c>
      <c r="E44" s="107">
        <v>13168764.918000001</v>
      </c>
      <c r="F44" s="110">
        <v>0.12876000000000001</v>
      </c>
      <c r="G44" s="104" t="s">
        <v>55</v>
      </c>
      <c r="H44" s="105"/>
      <c r="I44" s="110">
        <f>I45</f>
        <v>0.13591</v>
      </c>
      <c r="J44" s="104" t="s">
        <v>55</v>
      </c>
      <c r="O44" s="86">
        <f t="shared" ref="O44:O46" si="11">I44-F44</f>
        <v>7.1499999999999897E-3</v>
      </c>
      <c r="Q44" s="95">
        <v>5.5556077212557502E-2</v>
      </c>
    </row>
    <row r="45" spans="2:17" s="101" customFormat="1" x14ac:dyDescent="0.25">
      <c r="C45" s="103" t="s">
        <v>56</v>
      </c>
      <c r="D45" s="109" t="s">
        <v>40</v>
      </c>
      <c r="E45" s="107">
        <v>29185983.705999997</v>
      </c>
      <c r="F45" s="110">
        <v>0.12876000000000001</v>
      </c>
      <c r="G45" s="104">
        <f>ROUND($E45*F45,2)</f>
        <v>3757987.26</v>
      </c>
      <c r="H45" s="105"/>
      <c r="I45" s="110">
        <f>ROUND(F45*(1+Q44),5)</f>
        <v>0.13591</v>
      </c>
      <c r="J45" s="104">
        <f>ROUND($E45*I45,2)</f>
        <v>3966667.05</v>
      </c>
      <c r="L45" s="81">
        <f t="shared" ref="L45:L46" si="12">J45-G45</f>
        <v>208679.79000000004</v>
      </c>
      <c r="M45" s="82">
        <f t="shared" ref="M45:M46" si="13">IF(G45&lt;&gt;0,L45/G45,0)</f>
        <v>5.5529669358165959E-2</v>
      </c>
      <c r="N45" s="82"/>
      <c r="O45" s="86">
        <f t="shared" si="11"/>
        <v>7.1499999999999897E-3</v>
      </c>
    </row>
    <row r="46" spans="2:17" s="101" customFormat="1" x14ac:dyDescent="0.25">
      <c r="C46" s="103" t="s">
        <v>57</v>
      </c>
      <c r="D46" s="109" t="s">
        <v>40</v>
      </c>
      <c r="E46" s="107">
        <v>21612119.393000003</v>
      </c>
      <c r="F46" s="110">
        <v>0.10364</v>
      </c>
      <c r="G46" s="104">
        <f>ROUND($E46*F46,2)</f>
        <v>2239880.0499999998</v>
      </c>
      <c r="H46" s="105"/>
      <c r="I46" s="110">
        <f>ROUND(F46*(1+Q44),5)-0.00067</f>
        <v>0.10872999999999999</v>
      </c>
      <c r="J46" s="104">
        <f>ROUND($E46*I46,2)</f>
        <v>2349885.7400000002</v>
      </c>
      <c r="L46" s="81">
        <f t="shared" si="12"/>
        <v>110005.69000000041</v>
      </c>
      <c r="M46" s="82">
        <f t="shared" si="13"/>
        <v>4.9112312956223002E-2</v>
      </c>
      <c r="N46" s="82"/>
      <c r="O46" s="86">
        <f t="shared" si="11"/>
        <v>5.0899999999999973E-3</v>
      </c>
    </row>
    <row r="47" spans="2:17" s="101" customFormat="1" x14ac:dyDescent="0.25">
      <c r="C47" s="106" t="s">
        <v>58</v>
      </c>
      <c r="D47" s="102"/>
      <c r="E47" s="117">
        <f>SUM(E44:E46)</f>
        <v>63966868.017000005</v>
      </c>
      <c r="F47" s="107"/>
      <c r="H47" s="105"/>
      <c r="I47" s="107"/>
    </row>
    <row r="48" spans="2:17" s="101" customFormat="1" x14ac:dyDescent="0.25">
      <c r="C48" s="106"/>
      <c r="D48" s="102"/>
      <c r="E48" s="107"/>
      <c r="F48" s="107"/>
      <c r="H48" s="105"/>
      <c r="I48" s="107"/>
    </row>
    <row r="49" spans="2:15" s="101" customFormat="1" x14ac:dyDescent="0.25">
      <c r="C49" s="106" t="s">
        <v>47</v>
      </c>
      <c r="D49" s="102" t="s">
        <v>40</v>
      </c>
      <c r="E49" s="17">
        <f>E47</f>
        <v>63966868.017000005</v>
      </c>
      <c r="F49" s="118">
        <v>6.0899999999999999E-3</v>
      </c>
      <c r="G49" s="104">
        <f>ROUND($E49*F49,2)</f>
        <v>389558.23</v>
      </c>
      <c r="H49" s="105"/>
      <c r="I49" s="110">
        <f>ROUND(F49*(1+Q44),5)</f>
        <v>6.43E-3</v>
      </c>
      <c r="J49" s="104">
        <f>ROUND($E49*I49,2)</f>
        <v>411306.96</v>
      </c>
      <c r="L49" s="96">
        <f t="shared" ref="L49" si="14">J49-G49</f>
        <v>21748.73000000004</v>
      </c>
      <c r="M49" s="82">
        <f>IF(G49&lt;&gt;0,L49/G49,0)</f>
        <v>5.5829214543869451E-2</v>
      </c>
      <c r="O49" s="86">
        <f t="shared" ref="O49" si="15">I49-F49</f>
        <v>3.4000000000000002E-4</v>
      </c>
    </row>
    <row r="50" spans="2:15" s="101" customFormat="1" x14ac:dyDescent="0.25">
      <c r="C50" s="88" t="s">
        <v>41</v>
      </c>
      <c r="D50" s="102"/>
      <c r="E50" s="107"/>
      <c r="F50" s="107"/>
      <c r="G50" s="119">
        <f>SUM(G39:G41,G45:G46,G49)</f>
        <v>14456233.310000002</v>
      </c>
      <c r="H50" s="105"/>
      <c r="I50" s="107"/>
      <c r="J50" s="119">
        <f>SUM(J39:J41,J45:J46,J49)</f>
        <v>15303462.290000001</v>
      </c>
      <c r="L50" s="81">
        <f>J50-G50</f>
        <v>847228.97999999858</v>
      </c>
      <c r="M50" s="82">
        <f>IF(G50&lt;&gt;0,L50/G50,0)</f>
        <v>5.8606482188823944E-2</v>
      </c>
      <c r="N50" s="82"/>
    </row>
    <row r="51" spans="2:15" s="101" customFormat="1" x14ac:dyDescent="0.25">
      <c r="C51" s="106"/>
      <c r="D51" s="102"/>
      <c r="E51" s="107"/>
      <c r="F51" s="107"/>
      <c r="G51" s="114"/>
      <c r="H51" s="105"/>
      <c r="I51" s="107"/>
      <c r="J51" s="114"/>
    </row>
    <row r="52" spans="2:15" s="120" customFormat="1" x14ac:dyDescent="0.25">
      <c r="B52" s="112" t="s">
        <v>59</v>
      </c>
      <c r="D52" s="102"/>
      <c r="E52" s="103"/>
      <c r="F52" s="103"/>
      <c r="G52" s="104"/>
      <c r="H52" s="121"/>
      <c r="I52" s="103"/>
      <c r="J52" s="104"/>
    </row>
    <row r="53" spans="2:15" s="120" customFormat="1" x14ac:dyDescent="0.25">
      <c r="B53" s="103"/>
      <c r="C53" s="106" t="s">
        <v>37</v>
      </c>
      <c r="D53" s="106" t="s">
        <v>38</v>
      </c>
      <c r="E53" s="107">
        <v>1217.0689113856104</v>
      </c>
      <c r="F53" s="80">
        <v>410.51</v>
      </c>
      <c r="G53" s="104">
        <f>ROUND($E53*F53,2)</f>
        <v>499618.96</v>
      </c>
      <c r="H53" s="121"/>
      <c r="I53" s="80">
        <f>ROUND(F53*(1+Q44),2)</f>
        <v>433.32</v>
      </c>
      <c r="J53" s="104">
        <f>ROUND($E53*I53,2)</f>
        <v>527380.30000000005</v>
      </c>
      <c r="L53" s="81">
        <f t="shared" ref="L53:L55" si="16">J53-G53</f>
        <v>27761.340000000026</v>
      </c>
      <c r="M53" s="82">
        <f t="shared" ref="M53:M55" si="17">IF(G53&lt;&gt;0,L53/G53,0)</f>
        <v>5.5565024994247668E-2</v>
      </c>
      <c r="N53" s="82"/>
      <c r="O53" s="83">
        <f>I53-F53</f>
        <v>22.810000000000002</v>
      </c>
    </row>
    <row r="54" spans="2:15" s="120" customFormat="1" x14ac:dyDescent="0.25">
      <c r="B54" s="103"/>
      <c r="C54" s="103" t="s">
        <v>51</v>
      </c>
      <c r="D54" s="106" t="s">
        <v>38</v>
      </c>
      <c r="E54" s="107">
        <f>E53</f>
        <v>1217.0689113856104</v>
      </c>
      <c r="F54" s="115">
        <f>F40</f>
        <v>115.88</v>
      </c>
      <c r="G54" s="104">
        <f>ROUND($E54*F54,2)</f>
        <v>141033.95000000001</v>
      </c>
      <c r="H54" s="121"/>
      <c r="I54" s="115">
        <f>I40</f>
        <v>122.32</v>
      </c>
      <c r="J54" s="104">
        <f>ROUND($E54*I54,2)</f>
        <v>148871.87</v>
      </c>
      <c r="L54" s="81">
        <f t="shared" si="16"/>
        <v>7837.9199999999837</v>
      </c>
      <c r="M54" s="82">
        <f t="shared" si="17"/>
        <v>5.5574703821313826E-2</v>
      </c>
      <c r="N54" s="82"/>
      <c r="O54" s="83">
        <f>I54-F54</f>
        <v>6.4399999999999977</v>
      </c>
    </row>
    <row r="55" spans="2:15" s="120" customFormat="1" x14ac:dyDescent="0.25">
      <c r="B55" s="103"/>
      <c r="C55" s="103" t="s">
        <v>52</v>
      </c>
      <c r="D55" s="109" t="s">
        <v>49</v>
      </c>
      <c r="E55" s="107">
        <v>1169396.5019999999</v>
      </c>
      <c r="F55" s="115">
        <v>1.17</v>
      </c>
      <c r="G55" s="104">
        <f>ROUND($E55*F55,2)</f>
        <v>1368193.91</v>
      </c>
      <c r="H55" s="121"/>
      <c r="I55" s="115">
        <f>I41</f>
        <v>1.25</v>
      </c>
      <c r="J55" s="104">
        <f>ROUND($E55*I55,2)</f>
        <v>1461745.63</v>
      </c>
      <c r="L55" s="81">
        <f t="shared" si="16"/>
        <v>93551.719999999972</v>
      </c>
      <c r="M55" s="82">
        <f t="shared" si="17"/>
        <v>6.837606812619125E-2</v>
      </c>
      <c r="N55" s="82"/>
      <c r="O55" s="83">
        <f>I55-F55</f>
        <v>8.0000000000000071E-2</v>
      </c>
    </row>
    <row r="56" spans="2:15" s="120" customFormat="1" x14ac:dyDescent="0.25">
      <c r="B56" s="103"/>
      <c r="C56" s="103"/>
      <c r="D56" s="109"/>
      <c r="E56" s="107"/>
      <c r="F56" s="115"/>
      <c r="G56" s="114"/>
      <c r="H56" s="121"/>
      <c r="I56" s="115"/>
      <c r="J56" s="114"/>
    </row>
    <row r="57" spans="2:15" s="120" customFormat="1" x14ac:dyDescent="0.25">
      <c r="B57" s="103"/>
      <c r="C57" s="103" t="s">
        <v>53</v>
      </c>
      <c r="D57" s="109"/>
      <c r="E57" s="107"/>
      <c r="F57" s="115"/>
      <c r="G57" s="114"/>
      <c r="H57" s="121"/>
      <c r="I57" s="115"/>
      <c r="J57" s="114"/>
    </row>
    <row r="58" spans="2:15" s="120" customFormat="1" x14ac:dyDescent="0.25">
      <c r="B58" s="103"/>
      <c r="C58" s="103" t="s">
        <v>54</v>
      </c>
      <c r="D58" s="109" t="s">
        <v>40</v>
      </c>
      <c r="E58" s="107">
        <v>1086774.6599999999</v>
      </c>
      <c r="F58" s="110">
        <f>F44</f>
        <v>0.12876000000000001</v>
      </c>
      <c r="G58" s="104" t="s">
        <v>55</v>
      </c>
      <c r="H58" s="121"/>
      <c r="I58" s="110">
        <f>I44</f>
        <v>0.13591</v>
      </c>
      <c r="J58" s="104" t="s">
        <v>55</v>
      </c>
      <c r="O58" s="86">
        <f t="shared" ref="O58:O60" si="18">I58-F58</f>
        <v>7.1499999999999897E-3</v>
      </c>
    </row>
    <row r="59" spans="2:15" s="120" customFormat="1" x14ac:dyDescent="0.25">
      <c r="B59" s="103"/>
      <c r="C59" s="103" t="s">
        <v>56</v>
      </c>
      <c r="D59" s="109" t="s">
        <v>40</v>
      </c>
      <c r="E59" s="107">
        <v>4133910.0599999996</v>
      </c>
      <c r="F59" s="110">
        <f>F45</f>
        <v>0.12876000000000001</v>
      </c>
      <c r="G59" s="104">
        <f>ROUND($E59*F59,2)</f>
        <v>532282.26</v>
      </c>
      <c r="H59" s="121"/>
      <c r="I59" s="110">
        <f>I45</f>
        <v>0.13591</v>
      </c>
      <c r="J59" s="104">
        <f>ROUND($E59*I59,2)</f>
        <v>561839.72</v>
      </c>
      <c r="L59" s="81">
        <f t="shared" ref="L59:L60" si="19">J59-G59</f>
        <v>29557.459999999963</v>
      </c>
      <c r="M59" s="82">
        <f t="shared" ref="M59:M60" si="20">IF(G59&lt;&gt;0,L59/G59,0)</f>
        <v>5.5529673297772433E-2</v>
      </c>
      <c r="N59" s="82"/>
      <c r="O59" s="86">
        <f t="shared" si="18"/>
        <v>7.1499999999999897E-3</v>
      </c>
    </row>
    <row r="60" spans="2:15" s="120" customFormat="1" x14ac:dyDescent="0.25">
      <c r="B60" s="103"/>
      <c r="C60" s="103" t="s">
        <v>57</v>
      </c>
      <c r="D60" s="109" t="s">
        <v>40</v>
      </c>
      <c r="E60" s="107">
        <v>14033564.798999999</v>
      </c>
      <c r="F60" s="110">
        <f>F46</f>
        <v>0.10364</v>
      </c>
      <c r="G60" s="104">
        <f>ROUND($E60*F60,2)</f>
        <v>1454438.66</v>
      </c>
      <c r="H60" s="121"/>
      <c r="I60" s="110">
        <f>I46</f>
        <v>0.10872999999999999</v>
      </c>
      <c r="J60" s="104">
        <f>ROUND($E60*I60,2)</f>
        <v>1525869.5</v>
      </c>
      <c r="L60" s="81">
        <f t="shared" si="19"/>
        <v>71430.840000000084</v>
      </c>
      <c r="M60" s="82">
        <f t="shared" si="20"/>
        <v>4.9112308387072222E-2</v>
      </c>
      <c r="N60" s="82"/>
      <c r="O60" s="86">
        <f t="shared" si="18"/>
        <v>5.0899999999999973E-3</v>
      </c>
    </row>
    <row r="61" spans="2:15" s="120" customFormat="1" x14ac:dyDescent="0.25">
      <c r="B61" s="103"/>
      <c r="C61" s="106" t="s">
        <v>58</v>
      </c>
      <c r="D61" s="102"/>
      <c r="E61" s="117">
        <f>SUM(E58:E60)</f>
        <v>19254249.518999998</v>
      </c>
      <c r="F61" s="107"/>
      <c r="G61" s="103"/>
      <c r="H61" s="121"/>
      <c r="I61" s="107"/>
      <c r="J61" s="103"/>
    </row>
    <row r="62" spans="2:15" s="120" customFormat="1" x14ac:dyDescent="0.25">
      <c r="B62" s="103"/>
      <c r="C62" s="106" t="s">
        <v>47</v>
      </c>
      <c r="D62" s="109" t="s">
        <v>40</v>
      </c>
      <c r="E62" s="107">
        <f>E61</f>
        <v>19254249.518999998</v>
      </c>
      <c r="F62" s="110">
        <v>0</v>
      </c>
      <c r="G62" s="104">
        <f>ROUND($E62*F62,2)</f>
        <v>0</v>
      </c>
      <c r="H62" s="121"/>
      <c r="I62" s="110">
        <f>ROUND(F62*(1+Q44),5)</f>
        <v>0</v>
      </c>
      <c r="J62" s="104">
        <f>ROUND($E62*I62,2)</f>
        <v>0</v>
      </c>
      <c r="L62" s="96">
        <f t="shared" ref="L62:L63" si="21">J62-G62</f>
        <v>0</v>
      </c>
      <c r="M62" s="82">
        <f t="shared" ref="M62:M63" si="22">IF(G62&lt;&gt;0,L62/G62,0)</f>
        <v>0</v>
      </c>
      <c r="N62" s="82"/>
      <c r="O62" s="86">
        <f>I62-F62</f>
        <v>0</v>
      </c>
    </row>
    <row r="63" spans="2:15" s="120" customFormat="1" x14ac:dyDescent="0.25">
      <c r="C63" s="88" t="s">
        <v>41</v>
      </c>
      <c r="D63" s="102"/>
      <c r="E63" s="107"/>
      <c r="F63" s="107"/>
      <c r="G63" s="119">
        <f>SUM(G53:G62)</f>
        <v>3995567.74</v>
      </c>
      <c r="H63" s="121"/>
      <c r="I63" s="107"/>
      <c r="J63" s="119">
        <f>SUM(J53:J62)</f>
        <v>4225707.0199999996</v>
      </c>
      <c r="L63" s="81">
        <f t="shared" si="21"/>
        <v>230139.27999999933</v>
      </c>
      <c r="M63" s="82">
        <f t="shared" si="22"/>
        <v>5.7598643040400389E-2</v>
      </c>
      <c r="N63" s="82"/>
    </row>
    <row r="64" spans="2:15" s="120" customFormat="1" x14ac:dyDescent="0.25">
      <c r="B64" s="103"/>
      <c r="C64" s="106"/>
      <c r="D64" s="102"/>
      <c r="E64" s="107"/>
      <c r="F64" s="107"/>
      <c r="G64" s="114"/>
      <c r="H64" s="121"/>
      <c r="I64" s="107"/>
      <c r="J64" s="114"/>
    </row>
    <row r="65" spans="2:17" s="101" customFormat="1" x14ac:dyDescent="0.25">
      <c r="B65" s="100" t="s">
        <v>60</v>
      </c>
      <c r="D65" s="102"/>
      <c r="E65" s="107"/>
      <c r="F65" s="115"/>
      <c r="G65" s="122"/>
      <c r="H65" s="123"/>
      <c r="I65" s="115"/>
      <c r="J65" s="122"/>
    </row>
    <row r="66" spans="2:17" s="101" customFormat="1" x14ac:dyDescent="0.25">
      <c r="C66" s="102" t="s">
        <v>37</v>
      </c>
      <c r="D66" s="102" t="s">
        <v>38</v>
      </c>
      <c r="E66" s="107">
        <v>331.51750649225198</v>
      </c>
      <c r="F66" s="115">
        <v>548.57000000000005</v>
      </c>
      <c r="G66" s="104">
        <f>ROUND($E66*F66,2)</f>
        <v>181860.56</v>
      </c>
      <c r="H66" s="123"/>
      <c r="I66" s="80">
        <f>ROUND(F66*(1+Q71),2)</f>
        <v>573.16</v>
      </c>
      <c r="J66" s="104">
        <f>ROUND($E66*I66,2)</f>
        <v>190012.57</v>
      </c>
      <c r="L66" s="81">
        <f t="shared" ref="L66:L69" si="23">J66-G66</f>
        <v>8152.0100000000093</v>
      </c>
      <c r="M66" s="82">
        <f t="shared" ref="M66:M69" si="24">IF(G66&lt;&gt;0,L66/G66,0)</f>
        <v>4.4825607047509416E-2</v>
      </c>
      <c r="N66" s="82"/>
      <c r="O66" s="83">
        <f t="shared" ref="O66:O68" si="25">I66-F66</f>
        <v>24.589999999999918</v>
      </c>
      <c r="Q66" s="84" t="s">
        <v>152</v>
      </c>
    </row>
    <row r="67" spans="2:17" s="101" customFormat="1" x14ac:dyDescent="0.25">
      <c r="C67" s="109" t="s">
        <v>52</v>
      </c>
      <c r="D67" s="109" t="s">
        <v>49</v>
      </c>
      <c r="E67" s="107">
        <v>84395.974999999991</v>
      </c>
      <c r="F67" s="115">
        <v>1.21</v>
      </c>
      <c r="G67" s="104">
        <f>ROUND($E67*F67,2)</f>
        <v>102119.13</v>
      </c>
      <c r="H67" s="123"/>
      <c r="I67" s="115">
        <f>ROUND(F67*(1+$Q$71),2)</f>
        <v>1.26</v>
      </c>
      <c r="J67" s="104">
        <f>ROUND($E67*I67,2)</f>
        <v>106338.93</v>
      </c>
      <c r="L67" s="81">
        <f t="shared" si="23"/>
        <v>4219.7999999999884</v>
      </c>
      <c r="M67" s="82">
        <f t="shared" si="24"/>
        <v>4.1322326189030284E-2</v>
      </c>
      <c r="N67" s="82"/>
      <c r="O67" s="83">
        <f t="shared" si="25"/>
        <v>5.0000000000000044E-2</v>
      </c>
      <c r="Q67" s="87">
        <f>'Exh. JAP-6 Page 1'!J15</f>
        <v>730307.2832917471</v>
      </c>
    </row>
    <row r="68" spans="2:17" s="101" customFormat="1" x14ac:dyDescent="0.25">
      <c r="C68" s="109" t="s">
        <v>47</v>
      </c>
      <c r="D68" s="109" t="s">
        <v>40</v>
      </c>
      <c r="E68" s="107">
        <f>E75</f>
        <v>16307789.426000001</v>
      </c>
      <c r="F68" s="110">
        <v>7.4700000000000001E-3</v>
      </c>
      <c r="G68" s="104">
        <f>ROUND($E68*F68,2)</f>
        <v>121819.19</v>
      </c>
      <c r="H68" s="123"/>
      <c r="I68" s="110">
        <f>ROUND(F68*(1+$Q$71),5)</f>
        <v>7.7999999999999996E-3</v>
      </c>
      <c r="J68" s="104">
        <f>ROUND($E68*I68,2)</f>
        <v>127200.76</v>
      </c>
      <c r="L68" s="81">
        <f t="shared" si="23"/>
        <v>5381.5699999999924</v>
      </c>
      <c r="M68" s="82">
        <f t="shared" si="24"/>
        <v>4.4176701552522166E-2</v>
      </c>
      <c r="N68" s="82"/>
      <c r="O68" s="86">
        <f t="shared" si="25"/>
        <v>3.2999999999999956E-4</v>
      </c>
      <c r="Q68" s="89" t="s">
        <v>151</v>
      </c>
    </row>
    <row r="69" spans="2:17" s="101" customFormat="1" x14ac:dyDescent="0.25">
      <c r="C69" s="109" t="s">
        <v>61</v>
      </c>
      <c r="D69" s="109"/>
      <c r="E69" s="107"/>
      <c r="F69" s="110"/>
      <c r="G69" s="104">
        <v>0</v>
      </c>
      <c r="H69" s="123"/>
      <c r="I69" s="110"/>
      <c r="J69" s="104">
        <v>0</v>
      </c>
      <c r="L69" s="81">
        <f t="shared" si="23"/>
        <v>0</v>
      </c>
      <c r="M69" s="82">
        <f t="shared" si="24"/>
        <v>0</v>
      </c>
      <c r="N69" s="82"/>
      <c r="O69" s="83"/>
      <c r="Q69" s="91">
        <f>L76+L88-Q67</f>
        <v>-347672.21329174889</v>
      </c>
    </row>
    <row r="70" spans="2:17" s="101" customFormat="1" x14ac:dyDescent="0.25">
      <c r="C70" s="109"/>
      <c r="D70" s="109"/>
      <c r="E70" s="107"/>
      <c r="F70" s="110"/>
      <c r="G70" s="114"/>
      <c r="H70" s="123"/>
      <c r="I70" s="110"/>
      <c r="J70" s="114"/>
      <c r="Q70" s="89" t="s">
        <v>153</v>
      </c>
    </row>
    <row r="71" spans="2:17" s="101" customFormat="1" x14ac:dyDescent="0.25">
      <c r="C71" s="109" t="s">
        <v>53</v>
      </c>
      <c r="D71" s="109"/>
      <c r="E71" s="107"/>
      <c r="F71" s="110"/>
      <c r="G71" s="114"/>
      <c r="H71" s="123"/>
      <c r="I71" s="110"/>
      <c r="J71" s="114"/>
      <c r="Q71" s="95">
        <v>4.4827914703012901E-2</v>
      </c>
    </row>
    <row r="72" spans="2:17" s="101" customFormat="1" x14ac:dyDescent="0.25">
      <c r="C72" s="109" t="s">
        <v>62</v>
      </c>
      <c r="D72" s="109" t="s">
        <v>40</v>
      </c>
      <c r="E72" s="107">
        <v>7796583.8330000006</v>
      </c>
      <c r="F72" s="110">
        <v>9.9360000000000004E-2</v>
      </c>
      <c r="G72" s="104">
        <f t="shared" ref="G72:G74" si="26">ROUND($E72*F72,2)</f>
        <v>774668.57</v>
      </c>
      <c r="H72" s="123"/>
      <c r="I72" s="110">
        <f>ROUND(F72*(1+$Q$71),5)</f>
        <v>0.10381</v>
      </c>
      <c r="J72" s="104">
        <f t="shared" ref="J72:J74" si="27">ROUND($E72*I72,2)</f>
        <v>809363.37</v>
      </c>
      <c r="L72" s="81">
        <f t="shared" ref="L72:L74" si="28">J72-G72</f>
        <v>34694.800000000047</v>
      </c>
      <c r="M72" s="82">
        <f t="shared" ref="M72:M74" si="29">IF(G72&lt;&gt;0,L72/G72,0)</f>
        <v>4.4786636948495342E-2</v>
      </c>
      <c r="N72" s="82"/>
      <c r="O72" s="86">
        <f t="shared" ref="O72:O74" si="30">I72-F72</f>
        <v>4.4499999999999956E-3</v>
      </c>
    </row>
    <row r="73" spans="2:17" s="101" customFormat="1" x14ac:dyDescent="0.25">
      <c r="C73" s="109" t="s">
        <v>63</v>
      </c>
      <c r="D73" s="109" t="s">
        <v>40</v>
      </c>
      <c r="E73" s="107">
        <v>4282488.4920000006</v>
      </c>
      <c r="F73" s="110">
        <v>4.9169999999999998E-2</v>
      </c>
      <c r="G73" s="104">
        <f t="shared" si="26"/>
        <v>210569.96</v>
      </c>
      <c r="H73" s="123"/>
      <c r="I73" s="110">
        <f t="shared" ref="I73:I74" si="31">ROUND(F73*(1+$Q$71),5)</f>
        <v>5.1369999999999999E-2</v>
      </c>
      <c r="J73" s="104">
        <f t="shared" si="27"/>
        <v>219991.43</v>
      </c>
      <c r="L73" s="81">
        <f t="shared" si="28"/>
        <v>9421.4700000000012</v>
      </c>
      <c r="M73" s="82">
        <f t="shared" si="29"/>
        <v>4.4742706889434755E-2</v>
      </c>
      <c r="N73" s="82"/>
      <c r="O73" s="86">
        <f t="shared" si="30"/>
        <v>2.2000000000000006E-3</v>
      </c>
    </row>
    <row r="74" spans="2:17" s="101" customFormat="1" x14ac:dyDescent="0.25">
      <c r="C74" s="109" t="s">
        <v>64</v>
      </c>
      <c r="D74" s="109" t="s">
        <v>40</v>
      </c>
      <c r="E74" s="107">
        <v>4228717.1009999998</v>
      </c>
      <c r="F74" s="110">
        <v>4.7039999999999998E-2</v>
      </c>
      <c r="G74" s="104">
        <f t="shared" si="26"/>
        <v>198918.85</v>
      </c>
      <c r="H74" s="123"/>
      <c r="I74" s="110">
        <f t="shared" si="31"/>
        <v>4.9149999999999999E-2</v>
      </c>
      <c r="J74" s="104">
        <f t="shared" si="27"/>
        <v>207841.45</v>
      </c>
      <c r="L74" s="81">
        <f t="shared" si="28"/>
        <v>8922.6000000000058</v>
      </c>
      <c r="M74" s="82">
        <f t="shared" si="29"/>
        <v>4.4855477497482039E-2</v>
      </c>
      <c r="N74" s="82"/>
      <c r="O74" s="86">
        <f t="shared" si="30"/>
        <v>2.1100000000000008E-3</v>
      </c>
    </row>
    <row r="75" spans="2:17" s="101" customFormat="1" x14ac:dyDescent="0.25">
      <c r="C75" s="106" t="s">
        <v>58</v>
      </c>
      <c r="D75" s="102"/>
      <c r="E75" s="117">
        <f>SUM(E72:E74)</f>
        <v>16307789.426000001</v>
      </c>
      <c r="F75" s="115"/>
      <c r="H75" s="123"/>
      <c r="I75" s="115"/>
      <c r="L75" s="124"/>
    </row>
    <row r="76" spans="2:17" s="101" customFormat="1" x14ac:dyDescent="0.25">
      <c r="C76" s="88" t="s">
        <v>41</v>
      </c>
      <c r="D76" s="102"/>
      <c r="E76" s="107"/>
      <c r="F76" s="115"/>
      <c r="G76" s="119">
        <f>SUM(G66:G74)</f>
        <v>1589956.26</v>
      </c>
      <c r="H76" s="123"/>
      <c r="I76" s="115"/>
      <c r="J76" s="119">
        <f>SUM(J66:J74)</f>
        <v>1660748.5099999998</v>
      </c>
      <c r="L76" s="81">
        <f t="shared" ref="L76" si="32">J76-G76</f>
        <v>70792.249999999767</v>
      </c>
      <c r="M76" s="82">
        <f t="shared" ref="M76" si="33">IF(G76&lt;&gt;0,L76/G76,0)</f>
        <v>4.4524652520944043E-2</v>
      </c>
      <c r="N76" s="82"/>
    </row>
    <row r="77" spans="2:17" s="101" customFormat="1" x14ac:dyDescent="0.25">
      <c r="C77" s="102"/>
      <c r="D77" s="102"/>
      <c r="E77" s="107"/>
      <c r="F77" s="115"/>
      <c r="G77" s="114"/>
      <c r="H77" s="123"/>
      <c r="I77" s="115"/>
      <c r="J77" s="114"/>
      <c r="Q77" s="109"/>
    </row>
    <row r="78" spans="2:17" s="101" customFormat="1" x14ac:dyDescent="0.25">
      <c r="B78" s="100" t="s">
        <v>65</v>
      </c>
      <c r="D78" s="102"/>
      <c r="E78" s="107"/>
      <c r="F78" s="115"/>
      <c r="G78" s="122"/>
      <c r="H78" s="123"/>
      <c r="I78" s="115"/>
      <c r="J78" s="122"/>
      <c r="Q78" s="109"/>
    </row>
    <row r="79" spans="2:17" s="101" customFormat="1" x14ac:dyDescent="0.25">
      <c r="C79" s="102" t="s">
        <v>37</v>
      </c>
      <c r="D79" s="102" t="s">
        <v>38</v>
      </c>
      <c r="E79" s="107">
        <v>1226.3663564440635</v>
      </c>
      <c r="F79" s="115">
        <v>877.69</v>
      </c>
      <c r="G79" s="104">
        <f>ROUND($E79*F79,2)</f>
        <v>1076369.49</v>
      </c>
      <c r="H79" s="123"/>
      <c r="I79" s="80">
        <f>ROUND(F79*(1+Q71),2)</f>
        <v>917.04</v>
      </c>
      <c r="J79" s="104">
        <f>ROUND($E79*I79,2)</f>
        <v>1124627</v>
      </c>
      <c r="L79" s="81">
        <f t="shared" ref="L79:L81" si="34">J79-G79</f>
        <v>48257.510000000009</v>
      </c>
      <c r="M79" s="82">
        <f t="shared" ref="M79:M80" si="35">IF(G79&lt;&gt;0,L79/G79,0)</f>
        <v>4.4833591483534163E-2</v>
      </c>
      <c r="N79" s="82"/>
      <c r="O79" s="83">
        <f t="shared" ref="O79:O80" si="36">I79-F79</f>
        <v>39.349999999999909</v>
      </c>
      <c r="Q79" s="66"/>
    </row>
    <row r="80" spans="2:17" s="101" customFormat="1" x14ac:dyDescent="0.25">
      <c r="C80" s="109" t="s">
        <v>52</v>
      </c>
      <c r="D80" s="109" t="s">
        <v>49</v>
      </c>
      <c r="E80" s="107">
        <v>686276.33400000003</v>
      </c>
      <c r="F80" s="115">
        <v>1.21</v>
      </c>
      <c r="G80" s="104">
        <f>ROUND($E80*F80,2)</f>
        <v>830394.36</v>
      </c>
      <c r="H80" s="123"/>
      <c r="I80" s="115">
        <f>I67</f>
        <v>1.26</v>
      </c>
      <c r="J80" s="104">
        <f>ROUND($E80*I80,2)</f>
        <v>864708.18</v>
      </c>
      <c r="L80" s="81">
        <f t="shared" si="34"/>
        <v>34313.820000000065</v>
      </c>
      <c r="M80" s="82">
        <f t="shared" si="35"/>
        <v>4.1322318229618113E-2</v>
      </c>
      <c r="N80" s="82"/>
      <c r="O80" s="83">
        <f t="shared" si="36"/>
        <v>5.0000000000000044E-2</v>
      </c>
      <c r="Q80" s="125"/>
    </row>
    <row r="81" spans="2:17" s="101" customFormat="1" x14ac:dyDescent="0.25">
      <c r="C81" s="109" t="s">
        <v>61</v>
      </c>
      <c r="D81" s="109"/>
      <c r="E81" s="107"/>
      <c r="F81" s="115"/>
      <c r="G81" s="114">
        <v>12562.25</v>
      </c>
      <c r="H81" s="123"/>
      <c r="I81" s="115"/>
      <c r="J81" s="114">
        <v>12562.25</v>
      </c>
      <c r="L81" s="81">
        <f t="shared" si="34"/>
        <v>0</v>
      </c>
      <c r="M81" s="82">
        <f>IF(G81&lt;&gt;0,L81/G81,0)</f>
        <v>0</v>
      </c>
      <c r="N81" s="82"/>
      <c r="Q81" s="66"/>
    </row>
    <row r="82" spans="2:17" s="101" customFormat="1" x14ac:dyDescent="0.25">
      <c r="C82" s="109"/>
      <c r="D82" s="109"/>
      <c r="E82" s="107"/>
      <c r="F82" s="110"/>
      <c r="G82" s="114"/>
      <c r="H82" s="123"/>
      <c r="I82" s="110"/>
      <c r="J82" s="114"/>
      <c r="Q82" s="9"/>
    </row>
    <row r="83" spans="2:17" s="101" customFormat="1" x14ac:dyDescent="0.25">
      <c r="C83" s="109" t="s">
        <v>53</v>
      </c>
      <c r="D83" s="109"/>
      <c r="E83" s="107"/>
      <c r="F83" s="110"/>
      <c r="G83" s="114"/>
      <c r="H83" s="123"/>
      <c r="I83" s="110"/>
      <c r="J83" s="114"/>
      <c r="Q83" s="66"/>
    </row>
    <row r="84" spans="2:17" s="101" customFormat="1" x14ac:dyDescent="0.25">
      <c r="C84" s="109" t="s">
        <v>62</v>
      </c>
      <c r="D84" s="109" t="s">
        <v>40</v>
      </c>
      <c r="E84" s="107">
        <v>28192306.539999999</v>
      </c>
      <c r="F84" s="110">
        <f>F72</f>
        <v>9.9360000000000004E-2</v>
      </c>
      <c r="G84" s="104">
        <f t="shared" ref="G84:G86" si="37">ROUND($E84*F84,2)</f>
        <v>2801187.58</v>
      </c>
      <c r="H84" s="123"/>
      <c r="I84" s="110">
        <f>I72</f>
        <v>0.10381</v>
      </c>
      <c r="J84" s="104">
        <f t="shared" ref="J84:J86" si="38">ROUND($E84*I84,2)</f>
        <v>2926643.34</v>
      </c>
      <c r="L84" s="81">
        <f t="shared" ref="L84:L86" si="39">J84-G84</f>
        <v>125455.75999999978</v>
      </c>
      <c r="M84" s="82">
        <f>IF(G84&lt;&gt;0,L84/G84,0)</f>
        <v>4.4786632960867184E-2</v>
      </c>
      <c r="N84" s="82"/>
      <c r="O84" s="86">
        <f t="shared" ref="O84:O86" si="40">I84-F84</f>
        <v>4.4499999999999956E-3</v>
      </c>
      <c r="Q84" s="126"/>
    </row>
    <row r="85" spans="2:17" s="101" customFormat="1" x14ac:dyDescent="0.25">
      <c r="C85" s="109" t="s">
        <v>63</v>
      </c>
      <c r="D85" s="109" t="s">
        <v>40</v>
      </c>
      <c r="E85" s="107">
        <v>19024750.539999999</v>
      </c>
      <c r="F85" s="110">
        <f>F73</f>
        <v>4.9169999999999998E-2</v>
      </c>
      <c r="G85" s="104">
        <f t="shared" si="37"/>
        <v>935446.98</v>
      </c>
      <c r="H85" s="123"/>
      <c r="I85" s="110">
        <f>I73</f>
        <v>5.1369999999999999E-2</v>
      </c>
      <c r="J85" s="104">
        <f t="shared" si="38"/>
        <v>977301.44</v>
      </c>
      <c r="L85" s="81">
        <f t="shared" si="39"/>
        <v>41854.459999999963</v>
      </c>
      <c r="M85" s="82">
        <f>IF(G85&lt;&gt;0,L85/G85,0)</f>
        <v>4.474273892038217E-2</v>
      </c>
      <c r="N85" s="82"/>
      <c r="O85" s="86">
        <f t="shared" si="40"/>
        <v>2.2000000000000006E-3</v>
      </c>
      <c r="Q85" s="109"/>
    </row>
    <row r="86" spans="2:17" s="101" customFormat="1" x14ac:dyDescent="0.25">
      <c r="C86" s="109" t="s">
        <v>66</v>
      </c>
      <c r="D86" s="109" t="s">
        <v>40</v>
      </c>
      <c r="E86" s="107">
        <v>29365530.039999999</v>
      </c>
      <c r="F86" s="110">
        <f>F74</f>
        <v>4.7039999999999998E-2</v>
      </c>
      <c r="G86" s="104">
        <f t="shared" si="37"/>
        <v>1381354.53</v>
      </c>
      <c r="H86" s="123"/>
      <c r="I86" s="110">
        <f>I74</f>
        <v>4.9149999999999999E-2</v>
      </c>
      <c r="J86" s="104">
        <f t="shared" si="38"/>
        <v>1443315.8</v>
      </c>
      <c r="L86" s="81">
        <f t="shared" si="39"/>
        <v>61961.270000000019</v>
      </c>
      <c r="M86" s="82">
        <f>IF(G86&lt;&gt;0,L86/G86,0)</f>
        <v>4.4855443446513342E-2</v>
      </c>
      <c r="N86" s="82"/>
      <c r="O86" s="86">
        <f t="shared" si="40"/>
        <v>2.1100000000000008E-3</v>
      </c>
    </row>
    <row r="87" spans="2:17" s="101" customFormat="1" x14ac:dyDescent="0.25">
      <c r="C87" s="106" t="s">
        <v>58</v>
      </c>
      <c r="D87" s="102"/>
      <c r="E87" s="117">
        <f>SUM(E84:E86)</f>
        <v>76582587.120000005</v>
      </c>
      <c r="F87" s="115"/>
      <c r="H87" s="123"/>
      <c r="I87" s="115"/>
      <c r="L87" s="124"/>
    </row>
    <row r="88" spans="2:17" s="101" customFormat="1" x14ac:dyDescent="0.25">
      <c r="C88" s="88" t="s">
        <v>41</v>
      </c>
      <c r="D88" s="102"/>
      <c r="E88" s="107"/>
      <c r="F88" s="115"/>
      <c r="G88" s="119">
        <f>SUM(G79:G86)</f>
        <v>7037315.1900000004</v>
      </c>
      <c r="H88" s="123"/>
      <c r="I88" s="115"/>
      <c r="J88" s="119">
        <f>SUM(J79:J86)</f>
        <v>7349158.0099999988</v>
      </c>
      <c r="L88" s="81">
        <f t="shared" ref="L88" si="41">J88-G88</f>
        <v>311842.81999999844</v>
      </c>
      <c r="M88" s="82">
        <f>IF(G88&lt;&gt;0,L88/G88,0)</f>
        <v>4.4312754449754639E-2</v>
      </c>
      <c r="N88" s="82"/>
    </row>
    <row r="89" spans="2:17" s="101" customFormat="1" x14ac:dyDescent="0.25">
      <c r="C89" s="102"/>
      <c r="D89" s="102"/>
      <c r="E89" s="107"/>
      <c r="F89" s="115"/>
      <c r="G89" s="114"/>
      <c r="H89" s="123"/>
      <c r="I89" s="115"/>
      <c r="J89" s="114"/>
    </row>
    <row r="90" spans="2:17" s="101" customFormat="1" x14ac:dyDescent="0.25">
      <c r="B90" s="100" t="s">
        <v>67</v>
      </c>
      <c r="D90" s="102"/>
      <c r="E90" s="107"/>
      <c r="F90" s="115"/>
      <c r="G90" s="114"/>
      <c r="H90" s="123"/>
      <c r="I90" s="115"/>
      <c r="J90" s="114"/>
    </row>
    <row r="91" spans="2:17" s="101" customFormat="1" x14ac:dyDescent="0.25">
      <c r="C91" s="102" t="s">
        <v>37</v>
      </c>
      <c r="D91" s="102" t="s">
        <v>38</v>
      </c>
      <c r="E91" s="107">
        <v>2677.7055539223543</v>
      </c>
      <c r="F91" s="115">
        <v>139.36000000000001</v>
      </c>
      <c r="G91" s="114">
        <f>ROUND($E91*F91,2)</f>
        <v>373165.05</v>
      </c>
      <c r="H91" s="123"/>
      <c r="I91" s="80">
        <f>ROUND(F91*(1+Q96),2)</f>
        <v>148.63</v>
      </c>
      <c r="J91" s="114">
        <f>ROUND($E91*I91,2)</f>
        <v>397987.38</v>
      </c>
      <c r="L91" s="81">
        <f t="shared" ref="L91:L94" si="42">J91-G91</f>
        <v>24822.330000000016</v>
      </c>
      <c r="M91" s="82">
        <f t="shared" ref="M91:M94" si="43">IF(G91&lt;&gt;0,L91/G91,0)</f>
        <v>6.6518367676715748E-2</v>
      </c>
      <c r="N91" s="82"/>
      <c r="O91" s="83">
        <f t="shared" ref="O91:O93" si="44">I91-F91</f>
        <v>9.2699999999999818</v>
      </c>
      <c r="Q91" s="84" t="s">
        <v>152</v>
      </c>
    </row>
    <row r="92" spans="2:17" s="101" customFormat="1" x14ac:dyDescent="0.25">
      <c r="C92" s="109" t="s">
        <v>52</v>
      </c>
      <c r="D92" s="109" t="s">
        <v>49</v>
      </c>
      <c r="E92" s="107">
        <v>82161.953000000009</v>
      </c>
      <c r="F92" s="115">
        <v>1.22</v>
      </c>
      <c r="G92" s="114">
        <f>ROUND($E92*F92,2)</f>
        <v>100237.58</v>
      </c>
      <c r="H92" s="123"/>
      <c r="I92" s="115">
        <f>ROUND(F92*(1+$Q$96),2)</f>
        <v>1.3</v>
      </c>
      <c r="J92" s="114">
        <f>ROUND($E92*I92,2)</f>
        <v>106810.54</v>
      </c>
      <c r="L92" s="81">
        <f t="shared" si="42"/>
        <v>6572.9599999999919</v>
      </c>
      <c r="M92" s="82">
        <f t="shared" si="43"/>
        <v>6.5573809742812947E-2</v>
      </c>
      <c r="N92" s="82"/>
      <c r="O92" s="83">
        <f>I92-F92</f>
        <v>8.0000000000000071E-2</v>
      </c>
      <c r="Q92" s="87">
        <f>'Exh. JAP-6 Page 1'!J16</f>
        <v>171768.15772675184</v>
      </c>
    </row>
    <row r="93" spans="2:17" s="101" customFormat="1" x14ac:dyDescent="0.25">
      <c r="C93" s="109" t="s">
        <v>47</v>
      </c>
      <c r="D93" s="109" t="s">
        <v>40</v>
      </c>
      <c r="E93" s="107">
        <f>E99</f>
        <v>9107268.5420000013</v>
      </c>
      <c r="F93" s="110">
        <v>9.0699999999999999E-3</v>
      </c>
      <c r="G93" s="114">
        <f>ROUND($E93*F93,2)</f>
        <v>82602.929999999993</v>
      </c>
      <c r="H93" s="123"/>
      <c r="I93" s="110">
        <f>ROUND(F93*(1+$Q$96),5)</f>
        <v>9.6699999999999998E-3</v>
      </c>
      <c r="J93" s="114">
        <f>ROUND($E93*I93,2)</f>
        <v>88067.29</v>
      </c>
      <c r="L93" s="81">
        <f t="shared" si="42"/>
        <v>5464.3600000000006</v>
      </c>
      <c r="M93" s="82">
        <f t="shared" si="43"/>
        <v>6.6152132860178223E-2</v>
      </c>
      <c r="N93" s="82"/>
      <c r="O93" s="86">
        <f t="shared" si="44"/>
        <v>5.9999999999999984E-4</v>
      </c>
      <c r="Q93" s="89" t="s">
        <v>151</v>
      </c>
    </row>
    <row r="94" spans="2:17" s="101" customFormat="1" x14ac:dyDescent="0.25">
      <c r="C94" s="109" t="s">
        <v>61</v>
      </c>
      <c r="D94" s="109"/>
      <c r="E94" s="107"/>
      <c r="F94" s="110"/>
      <c r="G94" s="114">
        <v>28713.760000000002</v>
      </c>
      <c r="H94" s="123"/>
      <c r="I94" s="110"/>
      <c r="J94" s="114">
        <v>28713.760000000002</v>
      </c>
      <c r="L94" s="81">
        <f t="shared" si="42"/>
        <v>0</v>
      </c>
      <c r="M94" s="82">
        <f t="shared" si="43"/>
        <v>0</v>
      </c>
      <c r="N94" s="82"/>
      <c r="Q94" s="91">
        <f>L100+L111-Q92</f>
        <v>-39496.537726751965</v>
      </c>
    </row>
    <row r="95" spans="2:17" s="101" customFormat="1" x14ac:dyDescent="0.25">
      <c r="C95" s="109"/>
      <c r="D95" s="109"/>
      <c r="E95" s="107"/>
      <c r="F95" s="110"/>
      <c r="G95" s="114"/>
      <c r="H95" s="123"/>
      <c r="I95" s="110"/>
      <c r="J95" s="114"/>
      <c r="Q95" s="89" t="s">
        <v>153</v>
      </c>
    </row>
    <row r="96" spans="2:17" s="101" customFormat="1" x14ac:dyDescent="0.25">
      <c r="C96" s="109" t="s">
        <v>53</v>
      </c>
      <c r="D96" s="109"/>
      <c r="E96" s="107"/>
      <c r="F96" s="110"/>
      <c r="G96" s="114"/>
      <c r="H96" s="123"/>
      <c r="I96" s="110"/>
      <c r="J96" s="114"/>
      <c r="Q96" s="95">
        <v>6.6486168731577394E-2</v>
      </c>
    </row>
    <row r="97" spans="2:17" s="101" customFormat="1" x14ac:dyDescent="0.25">
      <c r="C97" s="103" t="s">
        <v>68</v>
      </c>
      <c r="D97" s="103" t="s">
        <v>40</v>
      </c>
      <c r="E97" s="107">
        <v>2060386.0149999999</v>
      </c>
      <c r="F97" s="110">
        <v>0.19273999999999999</v>
      </c>
      <c r="G97" s="114">
        <f>ROUND($E97*F97,2)</f>
        <v>397118.8</v>
      </c>
      <c r="H97" s="123"/>
      <c r="I97" s="110">
        <f>ROUND(F97*(1+$Q$96),5)</f>
        <v>0.20555000000000001</v>
      </c>
      <c r="J97" s="114">
        <f>ROUND($E97*I97,2)</f>
        <v>423512.35</v>
      </c>
      <c r="L97" s="81">
        <f t="shared" ref="L97:L98" si="45">J97-G97</f>
        <v>26393.549999999988</v>
      </c>
      <c r="M97" s="82">
        <f t="shared" ref="M97:M98" si="46">IF(G97&lt;&gt;0,L97/G97,0)</f>
        <v>6.6462605144858383E-2</v>
      </c>
      <c r="N97" s="82"/>
      <c r="O97" s="86">
        <f t="shared" ref="O97:O98" si="47">I97-F97</f>
        <v>1.2810000000000016E-2</v>
      </c>
    </row>
    <row r="98" spans="2:17" s="101" customFormat="1" x14ac:dyDescent="0.25">
      <c r="C98" s="103" t="s">
        <v>69</v>
      </c>
      <c r="D98" s="103" t="s">
        <v>40</v>
      </c>
      <c r="E98" s="107">
        <v>7046882.5270000007</v>
      </c>
      <c r="F98" s="110">
        <v>0.13664000000000001</v>
      </c>
      <c r="G98" s="114">
        <f>ROUND($E98*F98,2)</f>
        <v>962886.03</v>
      </c>
      <c r="H98" s="123"/>
      <c r="I98" s="110">
        <f>ROUND(F98*(1+$Q$96),5)</f>
        <v>0.14571999999999999</v>
      </c>
      <c r="J98" s="114">
        <f>ROUND($E98*I98,2)</f>
        <v>1026871.72</v>
      </c>
      <c r="L98" s="81">
        <f t="shared" si="45"/>
        <v>63985.689999999944</v>
      </c>
      <c r="M98" s="82">
        <f t="shared" si="46"/>
        <v>6.6451987053961034E-2</v>
      </c>
      <c r="N98" s="82"/>
      <c r="O98" s="86">
        <f t="shared" si="47"/>
        <v>9.079999999999977E-3</v>
      </c>
    </row>
    <row r="99" spans="2:17" s="101" customFormat="1" x14ac:dyDescent="0.25">
      <c r="C99" s="106" t="s">
        <v>58</v>
      </c>
      <c r="D99" s="109" t="s">
        <v>40</v>
      </c>
      <c r="E99" s="117">
        <f>SUM(E97:E98)</f>
        <v>9107268.5420000013</v>
      </c>
      <c r="F99" s="115"/>
      <c r="H99" s="123"/>
      <c r="I99" s="115"/>
      <c r="L99" s="124"/>
    </row>
    <row r="100" spans="2:17" s="101" customFormat="1" x14ac:dyDescent="0.25">
      <c r="C100" s="88" t="s">
        <v>41</v>
      </c>
      <c r="D100" s="109"/>
      <c r="E100" s="107"/>
      <c r="F100" s="115"/>
      <c r="G100" s="119">
        <f>SUM(G91:G98)</f>
        <v>1944724.1500000001</v>
      </c>
      <c r="H100" s="123"/>
      <c r="I100" s="115"/>
      <c r="J100" s="119">
        <f>SUM(J91:J98)</f>
        <v>2071963.04</v>
      </c>
      <c r="L100" s="81">
        <f t="shared" ref="L100" si="48">J100-G100</f>
        <v>127238.8899999999</v>
      </c>
      <c r="M100" s="82">
        <f>IF(G100&lt;&gt;0,L100/G100,0)</f>
        <v>6.5427731742828357E-2</v>
      </c>
      <c r="N100" s="82"/>
      <c r="Q100" s="109"/>
    </row>
    <row r="101" spans="2:17" s="101" customFormat="1" x14ac:dyDescent="0.25">
      <c r="C101" s="102"/>
      <c r="D101" s="102"/>
      <c r="E101" s="107"/>
      <c r="F101" s="115"/>
      <c r="G101" s="114"/>
      <c r="H101" s="123"/>
      <c r="I101" s="115"/>
      <c r="J101" s="114"/>
      <c r="Q101" s="109"/>
    </row>
    <row r="102" spans="2:17" s="101" customFormat="1" x14ac:dyDescent="0.25">
      <c r="B102" s="100" t="s">
        <v>70</v>
      </c>
      <c r="D102" s="102"/>
      <c r="E102" s="107"/>
      <c r="F102" s="115"/>
      <c r="G102" s="114"/>
      <c r="H102" s="123"/>
      <c r="I102" s="115"/>
      <c r="J102" s="114"/>
      <c r="Q102" s="109"/>
    </row>
    <row r="103" spans="2:17" s="101" customFormat="1" x14ac:dyDescent="0.25">
      <c r="B103" s="109"/>
      <c r="C103" s="102" t="s">
        <v>37</v>
      </c>
      <c r="D103" s="102" t="s">
        <v>38</v>
      </c>
      <c r="E103" s="107">
        <v>31.999971930109631</v>
      </c>
      <c r="F103" s="115">
        <v>443.44</v>
      </c>
      <c r="G103" s="114">
        <f>ROUND($E103*F103,2)</f>
        <v>14190.07</v>
      </c>
      <c r="H103" s="123"/>
      <c r="I103" s="80">
        <f>ROUND(F103*(1+Q96),2)</f>
        <v>472.92</v>
      </c>
      <c r="J103" s="114">
        <f>ROUND($E103*I103,2)</f>
        <v>15133.43</v>
      </c>
      <c r="L103" s="81">
        <f t="shared" ref="L103:L105" si="49">J103-G103</f>
        <v>943.36000000000058</v>
      </c>
      <c r="M103" s="82">
        <f t="shared" ref="M103:M105" si="50">IF(G103&lt;&gt;0,L103/G103,0)</f>
        <v>6.6480292204337307E-2</v>
      </c>
      <c r="N103" s="82"/>
      <c r="O103" s="83">
        <f t="shared" ref="O103:O104" si="51">I103-F103</f>
        <v>29.480000000000018</v>
      </c>
      <c r="Q103" s="66"/>
    </row>
    <row r="104" spans="2:17" s="101" customFormat="1" x14ac:dyDescent="0.25">
      <c r="B104" s="109"/>
      <c r="C104" s="109" t="s">
        <v>52</v>
      </c>
      <c r="D104" s="109" t="s">
        <v>49</v>
      </c>
      <c r="E104" s="107">
        <v>9750</v>
      </c>
      <c r="F104" s="115">
        <v>1.22</v>
      </c>
      <c r="G104" s="114">
        <f>ROUND($E104*F104,2)</f>
        <v>11895</v>
      </c>
      <c r="H104" s="123"/>
      <c r="I104" s="115">
        <f>I92</f>
        <v>1.3</v>
      </c>
      <c r="J104" s="114">
        <f>ROUND($E104*I104,2)</f>
        <v>12675</v>
      </c>
      <c r="L104" s="81">
        <f t="shared" si="49"/>
        <v>780</v>
      </c>
      <c r="M104" s="82">
        <f t="shared" si="50"/>
        <v>6.5573770491803282E-2</v>
      </c>
      <c r="N104" s="82"/>
      <c r="O104" s="83">
        <f t="shared" si="51"/>
        <v>8.0000000000000071E-2</v>
      </c>
      <c r="Q104" s="125"/>
    </row>
    <row r="105" spans="2:17" s="101" customFormat="1" x14ac:dyDescent="0.25">
      <c r="B105" s="109"/>
      <c r="C105" s="109" t="s">
        <v>61</v>
      </c>
      <c r="D105" s="109"/>
      <c r="E105" s="107"/>
      <c r="F105" s="110"/>
      <c r="G105" s="114">
        <v>8523.59</v>
      </c>
      <c r="H105" s="123"/>
      <c r="I105" s="110"/>
      <c r="J105" s="114">
        <v>8523.59</v>
      </c>
      <c r="L105" s="81">
        <f t="shared" si="49"/>
        <v>0</v>
      </c>
      <c r="M105" s="82">
        <f t="shared" si="50"/>
        <v>0</v>
      </c>
      <c r="N105" s="82"/>
      <c r="Q105" s="66"/>
    </row>
    <row r="106" spans="2:17" s="101" customFormat="1" x14ac:dyDescent="0.25">
      <c r="B106" s="109"/>
      <c r="C106" s="109"/>
      <c r="D106" s="109"/>
      <c r="E106" s="107"/>
      <c r="F106" s="110"/>
      <c r="G106" s="114"/>
      <c r="H106" s="123"/>
      <c r="I106" s="110"/>
      <c r="J106" s="114"/>
      <c r="Q106" s="9"/>
    </row>
    <row r="107" spans="2:17" s="101" customFormat="1" x14ac:dyDescent="0.25">
      <c r="B107" s="109"/>
      <c r="C107" s="109" t="s">
        <v>53</v>
      </c>
      <c r="D107" s="109"/>
      <c r="E107" s="107"/>
      <c r="F107" s="110"/>
      <c r="G107" s="114"/>
      <c r="H107" s="123"/>
      <c r="I107" s="110"/>
      <c r="J107" s="114"/>
      <c r="Q107" s="66"/>
    </row>
    <row r="108" spans="2:17" s="101" customFormat="1" x14ac:dyDescent="0.25">
      <c r="B108" s="109"/>
      <c r="C108" s="103" t="s">
        <v>68</v>
      </c>
      <c r="D108" s="103" t="s">
        <v>40</v>
      </c>
      <c r="E108" s="107">
        <v>23930.91</v>
      </c>
      <c r="F108" s="110">
        <f>F97</f>
        <v>0.19273999999999999</v>
      </c>
      <c r="G108" s="114">
        <f>ROUND($E108*F108,2)</f>
        <v>4612.4399999999996</v>
      </c>
      <c r="H108" s="123"/>
      <c r="I108" s="110">
        <f>I97</f>
        <v>0.20555000000000001</v>
      </c>
      <c r="J108" s="114">
        <f>ROUND($E108*I108,2)</f>
        <v>4919</v>
      </c>
      <c r="L108" s="81">
        <f t="shared" ref="L108:L109" si="52">J108-G108</f>
        <v>306.5600000000004</v>
      </c>
      <c r="M108" s="82">
        <f t="shared" ref="M108:M109" si="53">IF(G108&lt;&gt;0,L108/G108,0)</f>
        <v>6.6463737197665532E-2</v>
      </c>
      <c r="N108" s="82"/>
      <c r="O108" s="86">
        <f>I108-F108</f>
        <v>1.2810000000000016E-2</v>
      </c>
      <c r="Q108" s="126"/>
    </row>
    <row r="109" spans="2:17" s="101" customFormat="1" x14ac:dyDescent="0.25">
      <c r="B109" s="109"/>
      <c r="C109" s="103" t="s">
        <v>69</v>
      </c>
      <c r="D109" s="103" t="s">
        <v>40</v>
      </c>
      <c r="E109" s="107">
        <v>330705.78999999998</v>
      </c>
      <c r="F109" s="110">
        <f>F98</f>
        <v>0.13664000000000001</v>
      </c>
      <c r="G109" s="114">
        <f>ROUND($E109*F109,2)</f>
        <v>45187.64</v>
      </c>
      <c r="H109" s="123"/>
      <c r="I109" s="110">
        <f>I98</f>
        <v>0.14571999999999999</v>
      </c>
      <c r="J109" s="114">
        <f>ROUND($E109*I109,2)</f>
        <v>48190.45</v>
      </c>
      <c r="L109" s="81">
        <f t="shared" si="52"/>
        <v>3002.8099999999977</v>
      </c>
      <c r="M109" s="82">
        <f t="shared" si="53"/>
        <v>6.6452020950861737E-2</v>
      </c>
      <c r="N109" s="82"/>
      <c r="O109" s="86">
        <f t="shared" ref="O109" si="54">I109-F109</f>
        <v>9.079999999999977E-3</v>
      </c>
      <c r="Q109" s="109"/>
    </row>
    <row r="110" spans="2:17" s="101" customFormat="1" x14ac:dyDescent="0.25">
      <c r="C110" s="106" t="s">
        <v>58</v>
      </c>
      <c r="D110" s="109" t="s">
        <v>40</v>
      </c>
      <c r="E110" s="117">
        <f>SUM(E108:E109)</f>
        <v>354636.69999999995</v>
      </c>
      <c r="F110" s="115"/>
      <c r="H110" s="123"/>
      <c r="I110" s="115"/>
      <c r="L110" s="124"/>
    </row>
    <row r="111" spans="2:17" s="101" customFormat="1" x14ac:dyDescent="0.25">
      <c r="C111" s="88" t="s">
        <v>41</v>
      </c>
      <c r="D111" s="109"/>
      <c r="E111" s="107"/>
      <c r="F111" s="115"/>
      <c r="G111" s="119">
        <f>SUM(G103:G109)</f>
        <v>84408.74</v>
      </c>
      <c r="H111" s="123"/>
      <c r="I111" s="115"/>
      <c r="J111" s="119">
        <f>SUM(J103:J109)</f>
        <v>89441.47</v>
      </c>
      <c r="L111" s="81">
        <f t="shared" ref="L111" si="55">J111-G111</f>
        <v>5032.7299999999959</v>
      </c>
      <c r="M111" s="82">
        <f>IF(G111&lt;&gt;0,L111/G111,0)</f>
        <v>5.9623328105596597E-2</v>
      </c>
      <c r="N111" s="82"/>
    </row>
    <row r="112" spans="2:17" s="101" customFormat="1" x14ac:dyDescent="0.25">
      <c r="B112" s="109"/>
      <c r="C112" s="102"/>
      <c r="D112" s="102"/>
      <c r="E112" s="107"/>
      <c r="F112" s="115"/>
      <c r="G112" s="114"/>
      <c r="H112" s="123"/>
      <c r="I112" s="115"/>
      <c r="J112" s="114"/>
    </row>
    <row r="113" spans="2:17" s="101" customFormat="1" x14ac:dyDescent="0.25">
      <c r="B113" s="100" t="s">
        <v>71</v>
      </c>
      <c r="D113" s="102"/>
      <c r="E113" s="107"/>
      <c r="F113" s="115"/>
      <c r="G113" s="114"/>
      <c r="H113" s="123"/>
      <c r="I113" s="115"/>
      <c r="J113" s="114"/>
    </row>
    <row r="114" spans="2:17" s="101" customFormat="1" x14ac:dyDescent="0.25">
      <c r="C114" s="102" t="s">
        <v>37</v>
      </c>
      <c r="D114" s="102" t="s">
        <v>38</v>
      </c>
      <c r="E114" s="107">
        <v>60.132496118726415</v>
      </c>
      <c r="F114" s="115">
        <v>557.39</v>
      </c>
      <c r="G114" s="114">
        <f>ROUND($E114*F114,2)</f>
        <v>33517.25</v>
      </c>
      <c r="H114" s="123"/>
      <c r="I114" s="80">
        <f>ROUND(F114*(1+Q119),2)</f>
        <v>595.86</v>
      </c>
      <c r="J114" s="114">
        <f>ROUND($E114*I114,2)</f>
        <v>35830.550000000003</v>
      </c>
      <c r="L114" s="81">
        <f>J114-G114</f>
        <v>2313.3000000000029</v>
      </c>
      <c r="M114" s="82">
        <f>IF(G114&lt;&gt;0,L114/G114,0)</f>
        <v>6.9018192124950667E-2</v>
      </c>
      <c r="N114" s="82"/>
      <c r="O114" s="83">
        <f t="shared" ref="O114:O116" si="56">I114-F114</f>
        <v>38.470000000000027</v>
      </c>
      <c r="Q114" s="84" t="s">
        <v>152</v>
      </c>
    </row>
    <row r="115" spans="2:17" s="101" customFormat="1" x14ac:dyDescent="0.25">
      <c r="C115" s="109" t="s">
        <v>52</v>
      </c>
      <c r="D115" s="109" t="s">
        <v>49</v>
      </c>
      <c r="E115" s="107">
        <v>0</v>
      </c>
      <c r="F115" s="115">
        <v>1.38</v>
      </c>
      <c r="G115" s="114">
        <f>ROUND($E115*F115,2)</f>
        <v>0</v>
      </c>
      <c r="H115" s="123"/>
      <c r="I115" s="115">
        <f>ROUND(F115*(1+$Q$119),2)</f>
        <v>1.48</v>
      </c>
      <c r="J115" s="114">
        <f>ROUND($E115*I115,2)</f>
        <v>0</v>
      </c>
      <c r="L115" s="81">
        <f t="shared" ref="L115:L117" si="57">J115-G115</f>
        <v>0</v>
      </c>
      <c r="M115" s="82">
        <f t="shared" ref="M115:M117" si="58">IF(G115&lt;&gt;0,L115/G115,0)</f>
        <v>0</v>
      </c>
      <c r="N115" s="82"/>
      <c r="O115" s="83">
        <f t="shared" si="56"/>
        <v>0.10000000000000009</v>
      </c>
      <c r="Q115" s="87">
        <f>'Exh. JAP-6 Page 1'!J17</f>
        <v>394292.15799353702</v>
      </c>
    </row>
    <row r="116" spans="2:17" s="101" customFormat="1" x14ac:dyDescent="0.25">
      <c r="C116" s="109" t="s">
        <v>47</v>
      </c>
      <c r="D116" s="109"/>
      <c r="E116" s="107">
        <f>E126</f>
        <v>23273158.627999999</v>
      </c>
      <c r="F116" s="110">
        <v>5.94E-3</v>
      </c>
      <c r="G116" s="114">
        <f>ROUND($E116*F116,2)</f>
        <v>138242.56</v>
      </c>
      <c r="H116" s="123"/>
      <c r="I116" s="110">
        <f>ROUND(F116*(1+$Q$119),5)</f>
        <v>6.3499999999999997E-3</v>
      </c>
      <c r="J116" s="114">
        <f>ROUND($E116*I116,2)</f>
        <v>147784.56</v>
      </c>
      <c r="L116" s="81">
        <f t="shared" si="57"/>
        <v>9542</v>
      </c>
      <c r="M116" s="82">
        <f t="shared" si="58"/>
        <v>6.9023606044332511E-2</v>
      </c>
      <c r="N116" s="82"/>
      <c r="O116" s="86">
        <f t="shared" si="56"/>
        <v>4.0999999999999977E-4</v>
      </c>
      <c r="Q116" s="89" t="s">
        <v>151</v>
      </c>
    </row>
    <row r="117" spans="2:17" s="101" customFormat="1" x14ac:dyDescent="0.25">
      <c r="C117" s="103" t="s">
        <v>61</v>
      </c>
      <c r="D117" s="103"/>
      <c r="E117" s="107"/>
      <c r="F117" s="110" t="s">
        <v>29</v>
      </c>
      <c r="G117" s="114">
        <v>42191.22</v>
      </c>
      <c r="H117" s="123"/>
      <c r="I117" s="110" t="s">
        <v>29</v>
      </c>
      <c r="J117" s="114">
        <v>42191.22</v>
      </c>
      <c r="L117" s="81">
        <f t="shared" si="57"/>
        <v>0</v>
      </c>
      <c r="M117" s="82">
        <f t="shared" si="58"/>
        <v>0</v>
      </c>
      <c r="N117" s="82"/>
      <c r="Q117" s="91">
        <f>L127+L142-Q115</f>
        <v>-74665.377993537229</v>
      </c>
    </row>
    <row r="118" spans="2:17" s="101" customFormat="1" x14ac:dyDescent="0.25">
      <c r="C118" s="109"/>
      <c r="D118" s="109"/>
      <c r="E118" s="107"/>
      <c r="F118" s="110"/>
      <c r="G118" s="114"/>
      <c r="H118" s="123"/>
      <c r="I118" s="110"/>
      <c r="J118" s="114"/>
      <c r="Q118" s="89" t="s">
        <v>153</v>
      </c>
    </row>
    <row r="119" spans="2:17" s="101" customFormat="1" x14ac:dyDescent="0.25">
      <c r="C119" s="109" t="s">
        <v>53</v>
      </c>
      <c r="D119" s="109"/>
      <c r="E119" s="107"/>
      <c r="F119" s="110"/>
      <c r="G119" s="114"/>
      <c r="H119" s="123"/>
      <c r="I119" s="110"/>
      <c r="J119" s="114"/>
      <c r="Q119" s="95">
        <v>6.9024354682643493E-2</v>
      </c>
    </row>
    <row r="120" spans="2:17" s="101" customFormat="1" x14ac:dyDescent="0.25">
      <c r="C120" s="109" t="s">
        <v>62</v>
      </c>
      <c r="D120" s="109" t="s">
        <v>40</v>
      </c>
      <c r="E120" s="107">
        <v>1503311.6719999998</v>
      </c>
      <c r="F120" s="110">
        <v>0.1391</v>
      </c>
      <c r="G120" s="114">
        <f>ROUND($E120*F120,2)</f>
        <v>209110.65</v>
      </c>
      <c r="H120" s="123"/>
      <c r="I120" s="110">
        <f t="shared" ref="I120:I125" si="59">ROUND(F120*(1+$Q$119),5)</f>
        <v>0.1487</v>
      </c>
      <c r="J120" s="114">
        <f>ROUND($E120*I120,2)</f>
        <v>223542.45</v>
      </c>
      <c r="L120" s="81">
        <f t="shared" ref="L120:L125" si="60">J120-G120</f>
        <v>14431.800000000017</v>
      </c>
      <c r="M120" s="82">
        <f t="shared" ref="M120:M125" si="61">IF(G120&lt;&gt;0,L120/G120,0)</f>
        <v>6.9015136244854183E-2</v>
      </c>
      <c r="N120" s="82"/>
      <c r="O120" s="86">
        <f t="shared" ref="O120:O125" si="62">I120-F120</f>
        <v>9.5999999999999974E-3</v>
      </c>
    </row>
    <row r="121" spans="2:17" s="101" customFormat="1" x14ac:dyDescent="0.25">
      <c r="C121" s="109" t="s">
        <v>63</v>
      </c>
      <c r="D121" s="109" t="s">
        <v>40</v>
      </c>
      <c r="E121" s="107">
        <v>1455588.43</v>
      </c>
      <c r="F121" s="110">
        <v>8.4059999999999996E-2</v>
      </c>
      <c r="G121" s="114">
        <f t="shared" ref="G121:G125" si="63">ROUND($E121*F121,2)</f>
        <v>122356.76</v>
      </c>
      <c r="H121" s="123"/>
      <c r="I121" s="110">
        <f t="shared" si="59"/>
        <v>8.9859999999999995E-2</v>
      </c>
      <c r="J121" s="114">
        <f t="shared" ref="J121:J125" si="64">ROUND($E121*I121,2)</f>
        <v>130799.18</v>
      </c>
      <c r="L121" s="81">
        <f t="shared" si="60"/>
        <v>8442.4199999999983</v>
      </c>
      <c r="M121" s="82">
        <f t="shared" si="61"/>
        <v>6.8998394530878387E-2</v>
      </c>
      <c r="N121" s="82"/>
      <c r="O121" s="86">
        <f t="shared" si="62"/>
        <v>5.7999999999999996E-3</v>
      </c>
    </row>
    <row r="122" spans="2:17" s="101" customFormat="1" x14ac:dyDescent="0.25">
      <c r="C122" s="109" t="s">
        <v>66</v>
      </c>
      <c r="D122" s="109" t="s">
        <v>40</v>
      </c>
      <c r="E122" s="107">
        <v>2640466.9439999997</v>
      </c>
      <c r="F122" s="110">
        <v>5.3490000000000003E-2</v>
      </c>
      <c r="G122" s="114">
        <f t="shared" si="63"/>
        <v>141238.57999999999</v>
      </c>
      <c r="H122" s="123"/>
      <c r="I122" s="110">
        <f t="shared" si="59"/>
        <v>5.7180000000000002E-2</v>
      </c>
      <c r="J122" s="114">
        <f t="shared" si="64"/>
        <v>150981.9</v>
      </c>
      <c r="L122" s="81">
        <f t="shared" si="60"/>
        <v>9743.320000000007</v>
      </c>
      <c r="M122" s="82">
        <f t="shared" si="61"/>
        <v>6.8984834030475298E-2</v>
      </c>
      <c r="N122" s="82"/>
      <c r="O122" s="86">
        <f t="shared" si="62"/>
        <v>3.6899999999999988E-3</v>
      </c>
    </row>
    <row r="123" spans="2:17" s="101" customFormat="1" x14ac:dyDescent="0.25">
      <c r="C123" s="109" t="s">
        <v>72</v>
      </c>
      <c r="D123" s="109" t="s">
        <v>40</v>
      </c>
      <c r="E123" s="107">
        <v>3226287.8670000001</v>
      </c>
      <c r="F123" s="110">
        <v>3.4299999999999997E-2</v>
      </c>
      <c r="G123" s="114">
        <f t="shared" si="63"/>
        <v>110661.67</v>
      </c>
      <c r="H123" s="123"/>
      <c r="I123" s="110">
        <f t="shared" si="59"/>
        <v>3.6670000000000001E-2</v>
      </c>
      <c r="J123" s="114">
        <f t="shared" si="64"/>
        <v>118307.98</v>
      </c>
      <c r="L123" s="81">
        <f t="shared" si="60"/>
        <v>7646.3099999999977</v>
      </c>
      <c r="M123" s="82">
        <f t="shared" si="61"/>
        <v>6.909628238937654E-2</v>
      </c>
      <c r="N123" s="82"/>
      <c r="O123" s="86">
        <f t="shared" si="62"/>
        <v>2.370000000000004E-3</v>
      </c>
    </row>
    <row r="124" spans="2:17" s="101" customFormat="1" x14ac:dyDescent="0.25">
      <c r="C124" s="109" t="s">
        <v>73</v>
      </c>
      <c r="D124" s="109" t="s">
        <v>40</v>
      </c>
      <c r="E124" s="107">
        <v>3759593.1549999998</v>
      </c>
      <c r="F124" s="110">
        <v>2.4680000000000001E-2</v>
      </c>
      <c r="G124" s="114">
        <f t="shared" si="63"/>
        <v>92786.76</v>
      </c>
      <c r="H124" s="123"/>
      <c r="I124" s="110">
        <f t="shared" si="59"/>
        <v>2.6380000000000001E-2</v>
      </c>
      <c r="J124" s="114">
        <f t="shared" si="64"/>
        <v>99178.07</v>
      </c>
      <c r="L124" s="81">
        <f t="shared" si="60"/>
        <v>6391.3100000000122</v>
      </c>
      <c r="M124" s="82">
        <f t="shared" si="61"/>
        <v>6.8881702518764673E-2</v>
      </c>
      <c r="N124" s="82"/>
      <c r="O124" s="86">
        <f t="shared" si="62"/>
        <v>1.7000000000000001E-3</v>
      </c>
    </row>
    <row r="125" spans="2:17" s="101" customFormat="1" x14ac:dyDescent="0.25">
      <c r="C125" s="109" t="s">
        <v>74</v>
      </c>
      <c r="D125" s="109" t="s">
        <v>40</v>
      </c>
      <c r="E125" s="107">
        <v>10687910.560000001</v>
      </c>
      <c r="F125" s="110">
        <v>1.9029999999999998E-2</v>
      </c>
      <c r="G125" s="114">
        <f t="shared" si="63"/>
        <v>203390.94</v>
      </c>
      <c r="H125" s="123"/>
      <c r="I125" s="110">
        <f t="shared" si="59"/>
        <v>2.034E-2</v>
      </c>
      <c r="J125" s="114">
        <f t="shared" si="64"/>
        <v>217392.1</v>
      </c>
      <c r="L125" s="81">
        <f t="shared" si="60"/>
        <v>14001.160000000003</v>
      </c>
      <c r="M125" s="82">
        <f t="shared" si="61"/>
        <v>6.8838661151770106E-2</v>
      </c>
      <c r="N125" s="82"/>
      <c r="O125" s="86">
        <f t="shared" si="62"/>
        <v>1.3100000000000021E-3</v>
      </c>
    </row>
    <row r="126" spans="2:17" s="101" customFormat="1" x14ac:dyDescent="0.25">
      <c r="C126" s="106" t="s">
        <v>58</v>
      </c>
      <c r="D126" s="109" t="s">
        <v>40</v>
      </c>
      <c r="E126" s="117">
        <f>SUM(E120:E125)</f>
        <v>23273158.627999999</v>
      </c>
      <c r="F126" s="115"/>
      <c r="H126" s="123"/>
      <c r="I126" s="115"/>
      <c r="L126" s="124"/>
    </row>
    <row r="127" spans="2:17" s="101" customFormat="1" x14ac:dyDescent="0.25">
      <c r="C127" s="88" t="s">
        <v>41</v>
      </c>
      <c r="D127" s="109"/>
      <c r="E127" s="107"/>
      <c r="F127" s="115"/>
      <c r="G127" s="119">
        <f>SUM(G114:G125)</f>
        <v>1093496.3899999999</v>
      </c>
      <c r="H127" s="123"/>
      <c r="I127" s="115"/>
      <c r="J127" s="119">
        <f>SUM(J114:J125)</f>
        <v>1166008.01</v>
      </c>
      <c r="L127" s="81">
        <f>J127-G127</f>
        <v>72511.620000000112</v>
      </c>
      <c r="M127" s="82">
        <f>IF(G127&lt;&gt;0,L127/G127,0)</f>
        <v>6.6311714115489778E-2</v>
      </c>
      <c r="N127" s="82"/>
    </row>
    <row r="128" spans="2:17" s="101" customFormat="1" x14ac:dyDescent="0.25">
      <c r="C128" s="102"/>
      <c r="D128" s="102"/>
      <c r="E128" s="107"/>
      <c r="F128" s="115"/>
      <c r="G128" s="114"/>
      <c r="H128" s="123"/>
      <c r="I128" s="115"/>
      <c r="J128" s="114"/>
    </row>
    <row r="129" spans="2:17" s="101" customFormat="1" x14ac:dyDescent="0.25">
      <c r="B129" s="100" t="s">
        <v>75</v>
      </c>
      <c r="D129" s="102"/>
      <c r="E129" s="107"/>
      <c r="F129" s="115"/>
      <c r="G129" s="114"/>
      <c r="H129" s="123"/>
      <c r="I129" s="115"/>
      <c r="J129" s="114"/>
      <c r="Q129" s="109"/>
    </row>
    <row r="130" spans="2:17" s="101" customFormat="1" x14ac:dyDescent="0.25">
      <c r="B130" s="109"/>
      <c r="C130" s="102" t="s">
        <v>37</v>
      </c>
      <c r="D130" s="102" t="s">
        <v>38</v>
      </c>
      <c r="E130" s="107">
        <v>112.76670855311828</v>
      </c>
      <c r="F130" s="115">
        <v>891.83</v>
      </c>
      <c r="G130" s="114">
        <f>ROUND($E130*F130,2)</f>
        <v>100568.73</v>
      </c>
      <c r="H130" s="123"/>
      <c r="I130" s="80">
        <f>ROUND(F130*(1+Q119),2)</f>
        <v>953.39</v>
      </c>
      <c r="J130" s="114">
        <f>ROUND($E130*I130,2)</f>
        <v>107510.65</v>
      </c>
      <c r="L130" s="81">
        <f t="shared" ref="L130:L132" si="65">J130-G130</f>
        <v>6941.9199999999983</v>
      </c>
      <c r="M130" s="82">
        <f>IF(G130&lt;&gt;0,L130/G130,0)</f>
        <v>6.9026624876340772E-2</v>
      </c>
      <c r="N130" s="82"/>
      <c r="O130" s="83">
        <f t="shared" ref="O130:O131" si="66">I130-F130</f>
        <v>61.559999999999945</v>
      </c>
      <c r="Q130" s="66"/>
    </row>
    <row r="131" spans="2:17" s="101" customFormat="1" x14ac:dyDescent="0.25">
      <c r="B131" s="109"/>
      <c r="C131" s="109" t="s">
        <v>52</v>
      </c>
      <c r="D131" s="109" t="s">
        <v>49</v>
      </c>
      <c r="E131" s="107">
        <v>287412</v>
      </c>
      <c r="F131" s="115">
        <v>1.38</v>
      </c>
      <c r="G131" s="114">
        <f>ROUND($E131*F131,2)</f>
        <v>396628.56</v>
      </c>
      <c r="H131" s="123"/>
      <c r="I131" s="115">
        <f>I115</f>
        <v>1.48</v>
      </c>
      <c r="J131" s="114">
        <f>ROUND($E131*I131,2)</f>
        <v>425369.76</v>
      </c>
      <c r="L131" s="81">
        <f t="shared" si="65"/>
        <v>28741.200000000012</v>
      </c>
      <c r="M131" s="82">
        <f>IF(G131&lt;&gt;0,L131/G131,0)</f>
        <v>7.2463768115942059E-2</v>
      </c>
      <c r="N131" s="82"/>
      <c r="O131" s="83">
        <f t="shared" si="66"/>
        <v>0.10000000000000009</v>
      </c>
      <c r="Q131" s="125"/>
    </row>
    <row r="132" spans="2:17" s="101" customFormat="1" x14ac:dyDescent="0.25">
      <c r="B132" s="109"/>
      <c r="C132" s="109" t="s">
        <v>61</v>
      </c>
      <c r="D132" s="109"/>
      <c r="E132" s="107"/>
      <c r="F132" s="115"/>
      <c r="G132" s="114">
        <v>0</v>
      </c>
      <c r="H132" s="123"/>
      <c r="I132" s="115"/>
      <c r="J132" s="114">
        <v>0</v>
      </c>
      <c r="L132" s="81">
        <f t="shared" si="65"/>
        <v>0</v>
      </c>
      <c r="M132" s="82">
        <f>IF(G132&lt;&gt;0,L132/G132,0)</f>
        <v>0</v>
      </c>
      <c r="N132" s="82"/>
      <c r="Q132" s="66"/>
    </row>
    <row r="133" spans="2:17" s="101" customFormat="1" x14ac:dyDescent="0.25">
      <c r="B133" s="109"/>
      <c r="C133" s="103"/>
      <c r="D133" s="109"/>
      <c r="E133" s="107"/>
      <c r="F133" s="110"/>
      <c r="G133" s="114"/>
      <c r="H133" s="123"/>
      <c r="I133" s="110"/>
      <c r="J133" s="114"/>
      <c r="Q133" s="9"/>
    </row>
    <row r="134" spans="2:17" s="101" customFormat="1" x14ac:dyDescent="0.25">
      <c r="B134" s="109"/>
      <c r="C134" s="109" t="s">
        <v>53</v>
      </c>
      <c r="D134" s="109"/>
      <c r="E134" s="107"/>
      <c r="F134" s="110"/>
      <c r="G134" s="127"/>
      <c r="H134" s="123"/>
      <c r="I134" s="110"/>
      <c r="J134" s="114"/>
      <c r="Q134" s="66"/>
    </row>
    <row r="135" spans="2:17" s="101" customFormat="1" x14ac:dyDescent="0.25">
      <c r="B135" s="109"/>
      <c r="C135" s="109" t="s">
        <v>62</v>
      </c>
      <c r="D135" s="109" t="s">
        <v>40</v>
      </c>
      <c r="E135" s="107">
        <v>3000000</v>
      </c>
      <c r="F135" s="110">
        <f t="shared" ref="F135:F140" si="67">F120</f>
        <v>0.1391</v>
      </c>
      <c r="G135" s="127">
        <f t="shared" ref="G135:G140" si="68">ROUND($E135*F135,2)</f>
        <v>417300</v>
      </c>
      <c r="H135" s="123"/>
      <c r="I135" s="110">
        <f t="shared" ref="I135:I140" si="69">I120</f>
        <v>0.1487</v>
      </c>
      <c r="J135" s="114">
        <f t="shared" ref="J135:J140" si="70">ROUND($E135*I135,2)</f>
        <v>446100</v>
      </c>
      <c r="L135" s="81">
        <f t="shared" ref="L135:L140" si="71">J135-G135</f>
        <v>28800</v>
      </c>
      <c r="M135" s="82">
        <f t="shared" ref="M135:M140" si="72">IF(G135&lt;&gt;0,L135/G135,0)</f>
        <v>6.9015097052480226E-2</v>
      </c>
      <c r="N135" s="82"/>
      <c r="O135" s="86">
        <f t="shared" ref="O135:O140" si="73">I135-F135</f>
        <v>9.5999999999999974E-3</v>
      </c>
      <c r="P135" s="25"/>
      <c r="Q135" s="110"/>
    </row>
    <row r="136" spans="2:17" s="101" customFormat="1" x14ac:dyDescent="0.25">
      <c r="B136" s="109"/>
      <c r="C136" s="109" t="s">
        <v>63</v>
      </c>
      <c r="D136" s="109" t="s">
        <v>40</v>
      </c>
      <c r="E136" s="107">
        <v>3000000</v>
      </c>
      <c r="F136" s="110">
        <f t="shared" si="67"/>
        <v>8.4059999999999996E-2</v>
      </c>
      <c r="G136" s="127">
        <f t="shared" si="68"/>
        <v>252180</v>
      </c>
      <c r="H136" s="123"/>
      <c r="I136" s="110">
        <f t="shared" si="69"/>
        <v>8.9859999999999995E-2</v>
      </c>
      <c r="J136" s="114">
        <f t="shared" si="70"/>
        <v>269580</v>
      </c>
      <c r="L136" s="81">
        <f t="shared" si="71"/>
        <v>17400</v>
      </c>
      <c r="M136" s="82">
        <f t="shared" si="72"/>
        <v>6.8998334522959795E-2</v>
      </c>
      <c r="N136" s="82"/>
      <c r="O136" s="86">
        <f t="shared" si="73"/>
        <v>5.7999999999999996E-3</v>
      </c>
      <c r="P136" s="25"/>
      <c r="Q136" s="110"/>
    </row>
    <row r="137" spans="2:17" s="101" customFormat="1" x14ac:dyDescent="0.25">
      <c r="B137" s="109"/>
      <c r="C137" s="109" t="s">
        <v>66</v>
      </c>
      <c r="D137" s="109" t="s">
        <v>40</v>
      </c>
      <c r="E137" s="107">
        <v>6000000</v>
      </c>
      <c r="F137" s="110">
        <f t="shared" si="67"/>
        <v>5.3490000000000003E-2</v>
      </c>
      <c r="G137" s="127">
        <f t="shared" si="68"/>
        <v>320940</v>
      </c>
      <c r="H137" s="123"/>
      <c r="I137" s="110">
        <f t="shared" si="69"/>
        <v>5.7180000000000002E-2</v>
      </c>
      <c r="J137" s="114">
        <f t="shared" si="70"/>
        <v>343080</v>
      </c>
      <c r="L137" s="81">
        <f t="shared" si="71"/>
        <v>22140</v>
      </c>
      <c r="M137" s="82">
        <f t="shared" si="72"/>
        <v>6.8984856982613571E-2</v>
      </c>
      <c r="N137" s="82"/>
      <c r="O137" s="86">
        <f t="shared" si="73"/>
        <v>3.6899999999999988E-3</v>
      </c>
      <c r="P137" s="25"/>
      <c r="Q137" s="110"/>
    </row>
    <row r="138" spans="2:17" s="101" customFormat="1" x14ac:dyDescent="0.25">
      <c r="B138" s="109"/>
      <c r="C138" s="109" t="s">
        <v>72</v>
      </c>
      <c r="D138" s="109" t="s">
        <v>40</v>
      </c>
      <c r="E138" s="107">
        <v>11777991.880000001</v>
      </c>
      <c r="F138" s="110">
        <f t="shared" si="67"/>
        <v>3.4299999999999997E-2</v>
      </c>
      <c r="G138" s="127">
        <f t="shared" si="68"/>
        <v>403985.12</v>
      </c>
      <c r="H138" s="123"/>
      <c r="I138" s="110">
        <f t="shared" si="69"/>
        <v>3.6670000000000001E-2</v>
      </c>
      <c r="J138" s="114">
        <f t="shared" si="70"/>
        <v>431898.96</v>
      </c>
      <c r="L138" s="81">
        <f t="shared" si="71"/>
        <v>27913.840000000026</v>
      </c>
      <c r="M138" s="82">
        <f t="shared" si="72"/>
        <v>6.9096208295988781E-2</v>
      </c>
      <c r="N138" s="82"/>
      <c r="O138" s="86">
        <f t="shared" si="73"/>
        <v>2.370000000000004E-3</v>
      </c>
      <c r="P138" s="25"/>
      <c r="Q138" s="110"/>
    </row>
    <row r="139" spans="2:17" s="101" customFormat="1" x14ac:dyDescent="0.25">
      <c r="B139" s="109"/>
      <c r="C139" s="109" t="s">
        <v>73</v>
      </c>
      <c r="D139" s="109" t="s">
        <v>40</v>
      </c>
      <c r="E139" s="107">
        <v>26253593.52</v>
      </c>
      <c r="F139" s="110">
        <f t="shared" si="67"/>
        <v>2.4680000000000001E-2</v>
      </c>
      <c r="G139" s="127">
        <f t="shared" si="68"/>
        <v>647938.68999999994</v>
      </c>
      <c r="H139" s="123"/>
      <c r="I139" s="110">
        <f t="shared" si="69"/>
        <v>2.6380000000000001E-2</v>
      </c>
      <c r="J139" s="114">
        <f t="shared" si="70"/>
        <v>692569.8</v>
      </c>
      <c r="L139" s="81">
        <f t="shared" si="71"/>
        <v>44631.110000000102</v>
      </c>
      <c r="M139" s="82">
        <f t="shared" si="72"/>
        <v>6.8881686938620859E-2</v>
      </c>
      <c r="N139" s="82"/>
      <c r="O139" s="86">
        <f t="shared" si="73"/>
        <v>1.7000000000000001E-3</v>
      </c>
      <c r="P139" s="25"/>
      <c r="Q139" s="110"/>
    </row>
    <row r="140" spans="2:17" s="101" customFormat="1" x14ac:dyDescent="0.25">
      <c r="B140" s="109"/>
      <c r="C140" s="109" t="s">
        <v>74</v>
      </c>
      <c r="D140" s="109" t="s">
        <v>40</v>
      </c>
      <c r="E140" s="107">
        <v>53852735.850000009</v>
      </c>
      <c r="F140" s="110">
        <f t="shared" si="67"/>
        <v>1.9029999999999998E-2</v>
      </c>
      <c r="G140" s="127">
        <f t="shared" si="68"/>
        <v>1024817.56</v>
      </c>
      <c r="H140" s="123"/>
      <c r="I140" s="110">
        <f t="shared" si="69"/>
        <v>2.034E-2</v>
      </c>
      <c r="J140" s="114">
        <f t="shared" si="70"/>
        <v>1095364.6499999999</v>
      </c>
      <c r="L140" s="81">
        <f t="shared" si="71"/>
        <v>70547.089999999851</v>
      </c>
      <c r="M140" s="82">
        <f t="shared" si="72"/>
        <v>6.8838681882070651E-2</v>
      </c>
      <c r="N140" s="82"/>
      <c r="O140" s="86">
        <f t="shared" si="73"/>
        <v>1.3100000000000021E-3</v>
      </c>
      <c r="P140" s="25"/>
      <c r="Q140" s="110"/>
    </row>
    <row r="141" spans="2:17" s="101" customFormat="1" x14ac:dyDescent="0.25">
      <c r="C141" s="106" t="s">
        <v>58</v>
      </c>
      <c r="D141" s="109"/>
      <c r="E141" s="117">
        <f>SUM(E135:E140)</f>
        <v>103884321.25000001</v>
      </c>
      <c r="F141" s="110"/>
      <c r="G141" s="120"/>
      <c r="H141" s="123"/>
      <c r="I141" s="110"/>
      <c r="L141" s="124"/>
      <c r="O141" s="25"/>
      <c r="P141" s="25"/>
    </row>
    <row r="142" spans="2:17" s="101" customFormat="1" x14ac:dyDescent="0.25">
      <c r="C142" s="88" t="s">
        <v>41</v>
      </c>
      <c r="D142" s="109"/>
      <c r="E142" s="107"/>
      <c r="F142" s="110"/>
      <c r="G142" s="128">
        <f>SUM(G130:G140)</f>
        <v>3564358.66</v>
      </c>
      <c r="H142" s="123"/>
      <c r="I142" s="110"/>
      <c r="J142" s="128">
        <f>SUM(J130:J140)</f>
        <v>3811473.82</v>
      </c>
      <c r="L142" s="81">
        <f t="shared" ref="L142" si="74">J142-G142</f>
        <v>247115.15999999968</v>
      </c>
      <c r="M142" s="82">
        <f>IF(G142&lt;&gt;0,L142/G142,0)</f>
        <v>6.9329487734547918E-2</v>
      </c>
      <c r="N142" s="82"/>
      <c r="O142" s="25"/>
      <c r="P142" s="25"/>
    </row>
    <row r="143" spans="2:17" s="101" customFormat="1" x14ac:dyDescent="0.25">
      <c r="B143" s="109"/>
      <c r="C143" s="109"/>
      <c r="D143" s="102"/>
      <c r="E143" s="107"/>
      <c r="F143" s="115"/>
      <c r="G143" s="114"/>
      <c r="H143" s="123"/>
      <c r="I143" s="115"/>
      <c r="J143" s="114"/>
    </row>
    <row r="144" spans="2:17" x14ac:dyDescent="0.25">
      <c r="B144" s="100" t="s">
        <v>76</v>
      </c>
      <c r="E144" s="8"/>
      <c r="I144" s="8"/>
      <c r="J144" s="7"/>
    </row>
    <row r="145" spans="2:17" x14ac:dyDescent="0.25">
      <c r="B145" s="120" t="s">
        <v>77</v>
      </c>
      <c r="C145" s="120" t="s">
        <v>78</v>
      </c>
      <c r="D145" s="1"/>
      <c r="E145" s="129">
        <v>12480.465045003857</v>
      </c>
      <c r="F145" s="122">
        <v>7.37</v>
      </c>
      <c r="G145" s="114">
        <f t="shared" ref="G145:G150" si="75">ROUND($E145*F145,2)</f>
        <v>91981.03</v>
      </c>
      <c r="I145" s="130">
        <f>ROUND(F145*(1+$Q$150),2)</f>
        <v>7.58</v>
      </c>
      <c r="J145" s="114">
        <f t="shared" ref="J145:J150" si="76">ROUND($E145*I145,2)</f>
        <v>94601.93</v>
      </c>
      <c r="L145" s="81">
        <f t="shared" ref="L145:L150" si="77">J145-G145</f>
        <v>2620.8999999999942</v>
      </c>
      <c r="M145" s="82">
        <f t="shared" ref="M145:M151" si="78">IF(G145&lt;&gt;0,L145/G145,0)</f>
        <v>2.8493918800430854E-2</v>
      </c>
      <c r="N145" s="82"/>
      <c r="O145" s="83">
        <f t="shared" ref="O145:O150" si="79">I145-F145</f>
        <v>0.20999999999999996</v>
      </c>
      <c r="Q145" s="84" t="s">
        <v>152</v>
      </c>
    </row>
    <row r="146" spans="2:17" x14ac:dyDescent="0.25">
      <c r="B146" s="120" t="s">
        <v>79</v>
      </c>
      <c r="C146" s="120" t="s">
        <v>80</v>
      </c>
      <c r="E146" s="129">
        <v>193906.38286551557</v>
      </c>
      <c r="F146" s="122">
        <v>12.09</v>
      </c>
      <c r="G146" s="114">
        <f t="shared" si="75"/>
        <v>2344328.17</v>
      </c>
      <c r="I146" s="130">
        <f t="shared" ref="I146:I150" si="80">ROUND(F146*(1+$Q$150),2)</f>
        <v>12.44</v>
      </c>
      <c r="J146" s="114">
        <f t="shared" si="76"/>
        <v>2412195.4</v>
      </c>
      <c r="L146" s="81">
        <f t="shared" si="77"/>
        <v>67867.229999999981</v>
      </c>
      <c r="M146" s="82">
        <f t="shared" si="78"/>
        <v>2.8949543356807415E-2</v>
      </c>
      <c r="N146" s="82"/>
      <c r="O146" s="83">
        <f t="shared" si="79"/>
        <v>0.34999999999999964</v>
      </c>
      <c r="Q146" s="87">
        <f>'Exh. JAP-6 Page 1'!J18</f>
        <v>454099.0019864167</v>
      </c>
    </row>
    <row r="147" spans="2:17" x14ac:dyDescent="0.25">
      <c r="B147" s="120" t="s">
        <v>81</v>
      </c>
      <c r="C147" s="120" t="s">
        <v>82</v>
      </c>
      <c r="E147" s="129">
        <v>36640.184380349841</v>
      </c>
      <c r="F147" s="122">
        <v>17.149999999999999</v>
      </c>
      <c r="G147" s="114">
        <f t="shared" si="75"/>
        <v>628379.16</v>
      </c>
      <c r="I147" s="130">
        <f t="shared" si="80"/>
        <v>17.649999999999999</v>
      </c>
      <c r="J147" s="114">
        <f t="shared" si="76"/>
        <v>646699.25</v>
      </c>
      <c r="L147" s="81">
        <f t="shared" si="77"/>
        <v>18320.089999999967</v>
      </c>
      <c r="M147" s="82">
        <f t="shared" si="78"/>
        <v>2.9154515563501449E-2</v>
      </c>
      <c r="N147" s="82"/>
      <c r="O147" s="83">
        <f t="shared" si="79"/>
        <v>0.5</v>
      </c>
      <c r="Q147" s="89" t="s">
        <v>151</v>
      </c>
    </row>
    <row r="148" spans="2:17" x14ac:dyDescent="0.25">
      <c r="B148" s="120" t="s">
        <v>83</v>
      </c>
      <c r="C148" s="120" t="s">
        <v>84</v>
      </c>
      <c r="E148" s="129">
        <v>8166.0570112435507</v>
      </c>
      <c r="F148" s="122">
        <v>16.78</v>
      </c>
      <c r="G148" s="114">
        <f t="shared" si="75"/>
        <v>137026.44</v>
      </c>
      <c r="I148" s="130">
        <f t="shared" si="80"/>
        <v>17.27</v>
      </c>
      <c r="J148" s="114">
        <f t="shared" si="76"/>
        <v>141027.79999999999</v>
      </c>
      <c r="L148" s="81">
        <f t="shared" si="77"/>
        <v>4001.359999999986</v>
      </c>
      <c r="M148" s="82">
        <f t="shared" si="78"/>
        <v>2.9201371647690665E-2</v>
      </c>
      <c r="N148" s="82"/>
      <c r="O148" s="83">
        <f t="shared" si="79"/>
        <v>0.48999999999999844</v>
      </c>
      <c r="Q148" s="91">
        <f>L151+L161+L168-Q146</f>
        <v>-298388.01198641676</v>
      </c>
    </row>
    <row r="149" spans="2:17" x14ac:dyDescent="0.25">
      <c r="B149" s="120" t="s">
        <v>85</v>
      </c>
      <c r="C149" s="120" t="s">
        <v>86</v>
      </c>
      <c r="E149" s="129">
        <v>40969.207236776536</v>
      </c>
      <c r="F149" s="122">
        <v>5.83</v>
      </c>
      <c r="G149" s="114">
        <f t="shared" si="75"/>
        <v>238850.48</v>
      </c>
      <c r="I149" s="130">
        <f t="shared" si="80"/>
        <v>6</v>
      </c>
      <c r="J149" s="114">
        <f t="shared" si="76"/>
        <v>245815.24</v>
      </c>
      <c r="L149" s="81">
        <f t="shared" si="77"/>
        <v>6964.7599999999802</v>
      </c>
      <c r="M149" s="82">
        <f t="shared" si="78"/>
        <v>2.9159497607038429E-2</v>
      </c>
      <c r="N149" s="82"/>
      <c r="O149" s="83">
        <f t="shared" si="79"/>
        <v>0.16999999999999993</v>
      </c>
      <c r="Q149" s="89" t="s">
        <v>153</v>
      </c>
    </row>
    <row r="150" spans="2:17" x14ac:dyDescent="0.25">
      <c r="B150" s="120" t="s">
        <v>87</v>
      </c>
      <c r="C150" s="120" t="s">
        <v>88</v>
      </c>
      <c r="E150" s="129">
        <v>2378.5021946803395</v>
      </c>
      <c r="F150" s="122">
        <v>10.57</v>
      </c>
      <c r="G150" s="114">
        <f t="shared" si="75"/>
        <v>25140.77</v>
      </c>
      <c r="I150" s="130">
        <f t="shared" si="80"/>
        <v>10.88</v>
      </c>
      <c r="J150" s="114">
        <f t="shared" si="76"/>
        <v>25878.1</v>
      </c>
      <c r="L150" s="81">
        <f t="shared" si="77"/>
        <v>737.32999999999811</v>
      </c>
      <c r="M150" s="82">
        <f t="shared" si="78"/>
        <v>2.9328059562216992E-2</v>
      </c>
      <c r="N150" s="82"/>
      <c r="O150" s="83">
        <f t="shared" si="79"/>
        <v>0.3100000000000005</v>
      </c>
      <c r="Q150" s="95">
        <v>2.9047396867454601E-2</v>
      </c>
    </row>
    <row r="151" spans="2:17" x14ac:dyDescent="0.25">
      <c r="C151" s="88" t="s">
        <v>41</v>
      </c>
      <c r="E151" s="129"/>
      <c r="F151" s="122"/>
      <c r="G151" s="119">
        <f>SUM(G145:G150)</f>
        <v>3465706.05</v>
      </c>
      <c r="I151" s="130"/>
      <c r="J151" s="119">
        <f>SUM(J145:J150)</f>
        <v>3566217.72</v>
      </c>
      <c r="L151" s="119">
        <f>SUM(L145:L150)</f>
        <v>100511.66999999991</v>
      </c>
      <c r="M151" s="82">
        <f t="shared" si="78"/>
        <v>2.9001787384709075E-2</v>
      </c>
      <c r="N151" s="82"/>
    </row>
    <row r="152" spans="2:17" x14ac:dyDescent="0.25">
      <c r="C152" s="120"/>
      <c r="E152" s="8"/>
      <c r="F152" s="122"/>
      <c r="G152" s="114"/>
      <c r="I152" s="130"/>
      <c r="J152" s="114"/>
    </row>
    <row r="153" spans="2:17" x14ac:dyDescent="0.25">
      <c r="B153" s="100" t="s">
        <v>89</v>
      </c>
      <c r="C153" s="120"/>
      <c r="E153" s="8"/>
      <c r="F153" s="122"/>
      <c r="G153" s="114"/>
      <c r="I153" s="130"/>
      <c r="J153" s="114"/>
    </row>
    <row r="154" spans="2:17" x14ac:dyDescent="0.25">
      <c r="B154" s="120" t="s">
        <v>90</v>
      </c>
      <c r="C154" s="120" t="s">
        <v>91</v>
      </c>
      <c r="E154" s="129">
        <v>1385.380082485219</v>
      </c>
      <c r="F154" s="122">
        <v>14.9</v>
      </c>
      <c r="G154" s="114">
        <f t="shared" ref="G154:G160" si="81">ROUND($E154*F154,2)</f>
        <v>20642.16</v>
      </c>
      <c r="I154" s="130">
        <f t="shared" ref="I154:I160" si="82">ROUND(F154*(1+$Q$150),2)</f>
        <v>15.33</v>
      </c>
      <c r="J154" s="114">
        <f t="shared" ref="J154:J160" si="83">ROUND($E154*I154,2)</f>
        <v>21237.88</v>
      </c>
      <c r="L154" s="81">
        <f t="shared" ref="L154:L160" si="84">J154-G154</f>
        <v>595.72000000000116</v>
      </c>
      <c r="M154" s="82">
        <f t="shared" ref="M154:M161" si="85">IF(G154&lt;&gt;0,L154/G154,0)</f>
        <v>2.8859382932793911E-2</v>
      </c>
      <c r="N154" s="82"/>
      <c r="O154" s="83">
        <f t="shared" ref="O154:O160" si="86">I154-F154</f>
        <v>0.42999999999999972</v>
      </c>
    </row>
    <row r="155" spans="2:17" x14ac:dyDescent="0.25">
      <c r="B155" s="120" t="s">
        <v>92</v>
      </c>
      <c r="C155" s="120" t="s">
        <v>93</v>
      </c>
      <c r="E155" s="129">
        <v>1037.5582075779919</v>
      </c>
      <c r="F155" s="122">
        <v>19.600000000000001</v>
      </c>
      <c r="G155" s="114">
        <f t="shared" si="81"/>
        <v>20336.14</v>
      </c>
      <c r="I155" s="130">
        <f t="shared" si="82"/>
        <v>20.170000000000002</v>
      </c>
      <c r="J155" s="114">
        <f t="shared" si="83"/>
        <v>20927.55</v>
      </c>
      <c r="L155" s="81">
        <f t="shared" si="84"/>
        <v>591.40999999999985</v>
      </c>
      <c r="M155" s="82">
        <f t="shared" si="85"/>
        <v>2.9081723473579544E-2</v>
      </c>
      <c r="N155" s="82"/>
      <c r="O155" s="83">
        <f t="shared" si="86"/>
        <v>0.57000000000000028</v>
      </c>
    </row>
    <row r="156" spans="2:17" x14ac:dyDescent="0.25">
      <c r="B156" s="120" t="s">
        <v>94</v>
      </c>
      <c r="C156" s="120" t="s">
        <v>95</v>
      </c>
      <c r="E156" s="129">
        <v>2771.9403299097144</v>
      </c>
      <c r="F156" s="122">
        <v>19.600000000000001</v>
      </c>
      <c r="G156" s="114">
        <f t="shared" si="81"/>
        <v>54330.03</v>
      </c>
      <c r="I156" s="130">
        <f t="shared" si="82"/>
        <v>20.170000000000002</v>
      </c>
      <c r="J156" s="114">
        <f t="shared" si="83"/>
        <v>55910.04</v>
      </c>
      <c r="L156" s="81">
        <f t="shared" si="84"/>
        <v>1580.010000000002</v>
      </c>
      <c r="M156" s="82">
        <f t="shared" si="85"/>
        <v>2.9081706746710834E-2</v>
      </c>
      <c r="N156" s="82"/>
      <c r="O156" s="83">
        <f t="shared" si="86"/>
        <v>0.57000000000000028</v>
      </c>
    </row>
    <row r="157" spans="2:17" x14ac:dyDescent="0.25">
      <c r="B157" s="120" t="s">
        <v>96</v>
      </c>
      <c r="C157" s="120" t="s">
        <v>97</v>
      </c>
      <c r="E157" s="129">
        <v>156.42359935012365</v>
      </c>
      <c r="F157" s="122">
        <v>30.95</v>
      </c>
      <c r="G157" s="114">
        <f t="shared" si="81"/>
        <v>4841.3100000000004</v>
      </c>
      <c r="I157" s="130">
        <f t="shared" si="82"/>
        <v>31.85</v>
      </c>
      <c r="J157" s="114">
        <f t="shared" si="83"/>
        <v>4982.09</v>
      </c>
      <c r="L157" s="81">
        <f t="shared" si="84"/>
        <v>140.77999999999975</v>
      </c>
      <c r="M157" s="82">
        <f t="shared" si="85"/>
        <v>2.9078906329072035E-2</v>
      </c>
      <c r="N157" s="82"/>
      <c r="O157" s="83">
        <f t="shared" si="86"/>
        <v>0.90000000000000213</v>
      </c>
    </row>
    <row r="158" spans="2:17" x14ac:dyDescent="0.25">
      <c r="B158" s="120" t="s">
        <v>98</v>
      </c>
      <c r="C158" s="120" t="s">
        <v>99</v>
      </c>
      <c r="E158" s="129">
        <v>6653.0909836922901</v>
      </c>
      <c r="F158" s="122">
        <v>40.51</v>
      </c>
      <c r="G158" s="114">
        <f t="shared" si="81"/>
        <v>269516.71999999997</v>
      </c>
      <c r="I158" s="130">
        <f t="shared" si="82"/>
        <v>41.69</v>
      </c>
      <c r="J158" s="114">
        <f t="shared" si="83"/>
        <v>277367.36</v>
      </c>
      <c r="L158" s="81">
        <f t="shared" si="84"/>
        <v>7850.640000000014</v>
      </c>
      <c r="M158" s="82">
        <f t="shared" si="85"/>
        <v>2.9128582449356073E-2</v>
      </c>
      <c r="N158" s="82"/>
      <c r="O158" s="83">
        <f t="shared" si="86"/>
        <v>1.1799999999999997</v>
      </c>
    </row>
    <row r="159" spans="2:17" x14ac:dyDescent="0.25">
      <c r="B159" s="120" t="s">
        <v>100</v>
      </c>
      <c r="C159" s="120" t="s">
        <v>101</v>
      </c>
      <c r="E159" s="129">
        <v>4493.0155629840601</v>
      </c>
      <c r="F159" s="122">
        <v>54.25</v>
      </c>
      <c r="G159" s="114">
        <f t="shared" si="81"/>
        <v>243746.09</v>
      </c>
      <c r="I159" s="130">
        <f t="shared" si="82"/>
        <v>55.83</v>
      </c>
      <c r="J159" s="114">
        <f t="shared" si="83"/>
        <v>250845.06</v>
      </c>
      <c r="L159" s="81">
        <f t="shared" si="84"/>
        <v>7098.9700000000012</v>
      </c>
      <c r="M159" s="82">
        <f t="shared" si="85"/>
        <v>2.9124446673175357E-2</v>
      </c>
      <c r="N159" s="82"/>
      <c r="O159" s="83">
        <f t="shared" si="86"/>
        <v>1.5799999999999983</v>
      </c>
    </row>
    <row r="160" spans="2:17" x14ac:dyDescent="0.25">
      <c r="B160" s="120" t="s">
        <v>102</v>
      </c>
      <c r="C160" s="120" t="s">
        <v>103</v>
      </c>
      <c r="E160" s="129">
        <v>12979.72487632374</v>
      </c>
      <c r="F160" s="122">
        <v>63.09</v>
      </c>
      <c r="G160" s="114">
        <f t="shared" si="81"/>
        <v>818890.84</v>
      </c>
      <c r="I160" s="130">
        <f t="shared" si="82"/>
        <v>64.92</v>
      </c>
      <c r="J160" s="114">
        <f t="shared" si="83"/>
        <v>842643.74</v>
      </c>
      <c r="L160" s="81">
        <f t="shared" si="84"/>
        <v>23752.900000000023</v>
      </c>
      <c r="M160" s="82">
        <f t="shared" si="85"/>
        <v>2.9006185977120007E-2</v>
      </c>
      <c r="N160" s="82"/>
      <c r="O160" s="83">
        <f t="shared" si="86"/>
        <v>1.8299999999999983</v>
      </c>
    </row>
    <row r="161" spans="2:17" x14ac:dyDescent="0.25">
      <c r="C161" s="88" t="s">
        <v>41</v>
      </c>
      <c r="E161" s="8"/>
      <c r="F161" s="122"/>
      <c r="G161" s="119">
        <f>SUM(G154:G160)</f>
        <v>1432303.29</v>
      </c>
      <c r="I161" s="130"/>
      <c r="J161" s="119">
        <f>SUM(J154:J160)</f>
        <v>1473913.72</v>
      </c>
      <c r="L161" s="119">
        <f>SUM(L154:L160)</f>
        <v>41610.430000000037</v>
      </c>
      <c r="M161" s="82">
        <f t="shared" si="85"/>
        <v>2.9051409914725556E-2</v>
      </c>
      <c r="N161" s="82"/>
    </row>
    <row r="162" spans="2:17" x14ac:dyDescent="0.25">
      <c r="B162" s="88"/>
      <c r="E162" s="8"/>
      <c r="F162" s="122"/>
      <c r="G162" s="114"/>
      <c r="I162" s="130"/>
      <c r="J162" s="114"/>
    </row>
    <row r="163" spans="2:17" x14ac:dyDescent="0.25">
      <c r="B163" s="100" t="s">
        <v>104</v>
      </c>
      <c r="E163" s="8"/>
      <c r="F163" s="122"/>
      <c r="G163" s="114"/>
      <c r="I163" s="130"/>
      <c r="J163" s="114"/>
    </row>
    <row r="164" spans="2:17" x14ac:dyDescent="0.25">
      <c r="B164" s="120" t="s">
        <v>105</v>
      </c>
      <c r="C164" s="120" t="s">
        <v>106</v>
      </c>
      <c r="E164" s="129">
        <v>11826.912573528694</v>
      </c>
      <c r="F164" s="122">
        <v>10.16</v>
      </c>
      <c r="G164" s="114">
        <f t="shared" ref="G164:G167" si="87">ROUND($E164*F164,2)</f>
        <v>120161.43</v>
      </c>
      <c r="I164" s="130">
        <f t="shared" ref="I164:I167" si="88">ROUND(F164*(1+$Q$150),2)</f>
        <v>10.46</v>
      </c>
      <c r="J164" s="114">
        <f t="shared" ref="J164:J167" si="89">ROUND($E164*I164,2)</f>
        <v>123709.51</v>
      </c>
      <c r="L164" s="81">
        <f t="shared" ref="L164:L167" si="90">J164-G164</f>
        <v>3548.0800000000017</v>
      </c>
      <c r="M164" s="82">
        <f t="shared" ref="M164:M168" si="91">IF(G164&lt;&gt;0,L164/G164,0)</f>
        <v>2.9527611314212904E-2</v>
      </c>
      <c r="N164" s="82"/>
      <c r="O164" s="83">
        <f t="shared" ref="O164:O167" si="92">I164-F164</f>
        <v>0.30000000000000071</v>
      </c>
      <c r="Q164" s="25"/>
    </row>
    <row r="165" spans="2:17" x14ac:dyDescent="0.25">
      <c r="B165" s="120" t="s">
        <v>107</v>
      </c>
      <c r="C165" s="120" t="s">
        <v>108</v>
      </c>
      <c r="E165" s="129">
        <v>845.66294824016904</v>
      </c>
      <c r="F165" s="122">
        <v>27.71</v>
      </c>
      <c r="G165" s="114">
        <f t="shared" si="87"/>
        <v>23433.32</v>
      </c>
      <c r="I165" s="130">
        <f t="shared" si="88"/>
        <v>28.51</v>
      </c>
      <c r="J165" s="114">
        <f t="shared" si="89"/>
        <v>24109.85</v>
      </c>
      <c r="L165" s="81">
        <f t="shared" si="90"/>
        <v>676.52999999999884</v>
      </c>
      <c r="M165" s="82">
        <f t="shared" si="91"/>
        <v>2.8870428944767487E-2</v>
      </c>
      <c r="N165" s="82"/>
      <c r="O165" s="83">
        <f t="shared" si="92"/>
        <v>0.80000000000000071</v>
      </c>
      <c r="Q165" s="25"/>
    </row>
    <row r="166" spans="2:17" x14ac:dyDescent="0.25">
      <c r="B166" s="120" t="s">
        <v>109</v>
      </c>
      <c r="C166" s="120" t="s">
        <v>110</v>
      </c>
      <c r="E166" s="129">
        <v>535.50948516824371</v>
      </c>
      <c r="F166" s="122">
        <v>37.58</v>
      </c>
      <c r="G166" s="114">
        <f t="shared" si="87"/>
        <v>20124.45</v>
      </c>
      <c r="I166" s="130">
        <f t="shared" si="88"/>
        <v>38.67</v>
      </c>
      <c r="J166" s="114">
        <f t="shared" si="89"/>
        <v>20708.150000000001</v>
      </c>
      <c r="L166" s="81">
        <f t="shared" si="90"/>
        <v>583.70000000000073</v>
      </c>
      <c r="M166" s="82">
        <f t="shared" si="91"/>
        <v>2.9004519378169377E-2</v>
      </c>
      <c r="N166" s="82"/>
      <c r="O166" s="83">
        <f t="shared" si="92"/>
        <v>1.0900000000000034</v>
      </c>
      <c r="Q166" s="25"/>
    </row>
    <row r="167" spans="2:17" x14ac:dyDescent="0.25">
      <c r="B167" s="120" t="s">
        <v>111</v>
      </c>
      <c r="C167" s="120" t="s">
        <v>112</v>
      </c>
      <c r="E167" s="129">
        <v>19512.390986324594</v>
      </c>
      <c r="F167" s="122">
        <v>15.51</v>
      </c>
      <c r="G167" s="114">
        <f t="shared" si="87"/>
        <v>302637.18</v>
      </c>
      <c r="I167" s="130">
        <f t="shared" si="88"/>
        <v>15.96</v>
      </c>
      <c r="J167" s="114">
        <f t="shared" si="89"/>
        <v>311417.76</v>
      </c>
      <c r="L167" s="81">
        <f t="shared" si="90"/>
        <v>8780.5800000000163</v>
      </c>
      <c r="M167" s="82">
        <f t="shared" si="91"/>
        <v>2.9013553456981117E-2</v>
      </c>
      <c r="N167" s="82"/>
      <c r="O167" s="83">
        <f t="shared" si="92"/>
        <v>0.45000000000000107</v>
      </c>
      <c r="Q167" s="25"/>
    </row>
    <row r="168" spans="2:17" x14ac:dyDescent="0.25">
      <c r="C168" s="88" t="s">
        <v>41</v>
      </c>
      <c r="E168" s="8"/>
      <c r="G168" s="14">
        <f>SUM(G164:G167)</f>
        <v>466356.38</v>
      </c>
      <c r="I168" s="8"/>
      <c r="J168" s="14">
        <f>SUM(J164:J167)</f>
        <v>479945.27</v>
      </c>
      <c r="L168" s="14">
        <f>SUM(L164:L167)</f>
        <v>13588.890000000018</v>
      </c>
      <c r="M168" s="82">
        <f t="shared" si="91"/>
        <v>2.9138424138209534E-2</v>
      </c>
      <c r="N168" s="82"/>
    </row>
    <row r="169" spans="2:17" x14ac:dyDescent="0.25">
      <c r="E169" s="8"/>
      <c r="I169" s="7"/>
      <c r="J169" s="7"/>
    </row>
    <row r="170" spans="2:17" x14ac:dyDescent="0.25">
      <c r="B170" s="131" t="s">
        <v>25</v>
      </c>
      <c r="D170" s="109" t="s">
        <v>40</v>
      </c>
      <c r="E170" s="129">
        <f>'Exh. JAP-6 Page 1'!C19</f>
        <v>37275691.68</v>
      </c>
      <c r="G170" s="9">
        <f>'Exh. JAP-6 Page 1'!F19</f>
        <v>1726553.2512827553</v>
      </c>
      <c r="H170" s="10"/>
      <c r="I170" s="7"/>
      <c r="J170" s="9">
        <f>'Exh. JAP-6 Page 1'!K19</f>
        <v>1776637.0074217154</v>
      </c>
      <c r="L170" s="81">
        <f t="shared" ref="L170" si="93">J170-G170</f>
        <v>50083.756138960132</v>
      </c>
      <c r="M170" s="82">
        <f>IF(G170&lt;&gt;0,L170/G170,0)</f>
        <v>2.9007941748538622E-2</v>
      </c>
      <c r="N170" s="82"/>
    </row>
    <row r="171" spans="2:17" x14ac:dyDescent="0.25">
      <c r="I171" s="7"/>
      <c r="J171" s="7"/>
    </row>
    <row r="172" spans="2:17" x14ac:dyDescent="0.25">
      <c r="B172" s="131" t="s">
        <v>113</v>
      </c>
      <c r="E172" s="11"/>
      <c r="I172" s="7"/>
      <c r="J172" s="7"/>
    </row>
    <row r="173" spans="2:17" x14ac:dyDescent="0.25">
      <c r="B173" s="33" t="s">
        <v>18</v>
      </c>
      <c r="C173" s="1"/>
      <c r="E173" s="11">
        <f>E10+E15+E19*19</f>
        <v>603115440.25499988</v>
      </c>
      <c r="G173" s="9">
        <f>SUM(G11,G16,G19)</f>
        <v>311324127.59367347</v>
      </c>
      <c r="I173" s="7"/>
      <c r="J173" s="9">
        <f>SUM(J11,J16,J19)</f>
        <v>326090855.42058766</v>
      </c>
      <c r="L173" s="81">
        <f t="shared" ref="L173:L182" si="94">J173-G173</f>
        <v>14766727.826914191</v>
      </c>
      <c r="M173" s="82">
        <f t="shared" ref="M173:M182" si="95">IF(G173&lt;&gt;0,L173/G173,0)</f>
        <v>4.7432005803890259E-2</v>
      </c>
      <c r="N173" s="82"/>
    </row>
    <row r="174" spans="2:17" x14ac:dyDescent="0.25">
      <c r="B174" s="18" t="s">
        <v>19</v>
      </c>
      <c r="C174" s="1"/>
      <c r="E174" s="11">
        <f>E24+E30</f>
        <v>228648146.23999998</v>
      </c>
      <c r="G174" s="9">
        <f>SUM(G26,G32,G36)</f>
        <v>91604142.639999986</v>
      </c>
      <c r="I174" s="7"/>
      <c r="J174" s="9">
        <f>SUM(J26,J32,J36)</f>
        <v>96380712.859999999</v>
      </c>
      <c r="L174" s="81">
        <f t="shared" si="94"/>
        <v>4776570.2200000137</v>
      </c>
      <c r="M174" s="82">
        <f t="shared" si="95"/>
        <v>5.2143604888828139E-2</v>
      </c>
      <c r="N174" s="82"/>
    </row>
    <row r="175" spans="2:17" x14ac:dyDescent="0.25">
      <c r="B175" s="41" t="s">
        <v>20</v>
      </c>
      <c r="C175" s="1"/>
      <c r="E175" s="11">
        <f>E47+E61</f>
        <v>83221117.535999998</v>
      </c>
      <c r="G175" s="9">
        <f>SUM(G50,G63)</f>
        <v>18451801.050000004</v>
      </c>
      <c r="I175" s="7"/>
      <c r="J175" s="9">
        <f>SUM(J50,J63)</f>
        <v>19529169.310000002</v>
      </c>
      <c r="L175" s="81">
        <f t="shared" si="94"/>
        <v>1077368.2599999979</v>
      </c>
      <c r="M175" s="82">
        <f t="shared" si="95"/>
        <v>5.838824389448951E-2</v>
      </c>
      <c r="N175" s="82"/>
    </row>
    <row r="176" spans="2:17" x14ac:dyDescent="0.25">
      <c r="B176" s="33" t="s">
        <v>21</v>
      </c>
      <c r="C176" s="1"/>
      <c r="E176" s="11">
        <f>E75+E87</f>
        <v>92890376.546000004</v>
      </c>
      <c r="G176" s="9">
        <f>SUM(G76,G88)</f>
        <v>8627271.4500000011</v>
      </c>
      <c r="I176" s="7"/>
      <c r="J176" s="9">
        <f>SUM(J76,J88)</f>
        <v>9009906.5199999996</v>
      </c>
      <c r="L176" s="81">
        <f t="shared" si="94"/>
        <v>382635.06999999844</v>
      </c>
      <c r="M176" s="82">
        <f t="shared" si="95"/>
        <v>4.4351806039440014E-2</v>
      </c>
      <c r="N176" s="82"/>
    </row>
    <row r="177" spans="2:14" x14ac:dyDescent="0.25">
      <c r="B177" s="41" t="s">
        <v>22</v>
      </c>
      <c r="C177" s="1"/>
      <c r="E177" s="11">
        <f>E99+E110</f>
        <v>9461905.2420000006</v>
      </c>
      <c r="G177" s="9">
        <f>SUM(G100,G111)</f>
        <v>2029132.8900000001</v>
      </c>
      <c r="I177" s="7"/>
      <c r="J177" s="9">
        <f>SUM(J100,J111)</f>
        <v>2161404.5100000002</v>
      </c>
      <c r="L177" s="81">
        <f t="shared" si="94"/>
        <v>132271.62000000011</v>
      </c>
      <c r="M177" s="82">
        <f t="shared" si="95"/>
        <v>6.5186277671542794E-2</v>
      </c>
      <c r="N177" s="82"/>
    </row>
    <row r="178" spans="2:14" x14ac:dyDescent="0.25">
      <c r="B178" s="41" t="s">
        <v>23</v>
      </c>
      <c r="C178" s="1"/>
      <c r="E178" s="11">
        <f>E126+E141</f>
        <v>127157479.87800002</v>
      </c>
      <c r="G178" s="9">
        <f>SUM(G127,G142)</f>
        <v>4657855.05</v>
      </c>
      <c r="I178" s="7"/>
      <c r="J178" s="9">
        <f>SUM(J127,J142)</f>
        <v>4977481.83</v>
      </c>
      <c r="L178" s="81">
        <f t="shared" si="94"/>
        <v>319626.78000000026</v>
      </c>
      <c r="M178" s="82">
        <f t="shared" si="95"/>
        <v>6.8621023318447896E-2</v>
      </c>
      <c r="N178" s="82"/>
    </row>
    <row r="179" spans="2:14" x14ac:dyDescent="0.25">
      <c r="B179" s="33" t="s">
        <v>114</v>
      </c>
      <c r="C179" s="1"/>
      <c r="E179" s="11"/>
      <c r="G179" s="9">
        <f>SUM(G151,G161,G168)</f>
        <v>5364365.72</v>
      </c>
      <c r="I179" s="7"/>
      <c r="J179" s="9">
        <f>SUM(J151,J161,J168)</f>
        <v>5520076.7100000009</v>
      </c>
      <c r="L179" s="81">
        <f t="shared" si="94"/>
        <v>155710.99000000115</v>
      </c>
      <c r="M179" s="82">
        <f t="shared" si="95"/>
        <v>2.9026915413217048E-2</v>
      </c>
      <c r="N179" s="82"/>
    </row>
    <row r="180" spans="2:14" x14ac:dyDescent="0.25">
      <c r="B180" s="41" t="s">
        <v>25</v>
      </c>
      <c r="C180" s="1"/>
      <c r="E180" s="11">
        <f>E170</f>
        <v>37275691.68</v>
      </c>
      <c r="G180" s="9">
        <f>G170</f>
        <v>1726553.2512827553</v>
      </c>
      <c r="I180" s="7"/>
      <c r="J180" s="9">
        <f>J170</f>
        <v>1776637.0074217154</v>
      </c>
      <c r="L180" s="81">
        <f t="shared" si="94"/>
        <v>50083.756138960132</v>
      </c>
      <c r="M180" s="82">
        <f t="shared" si="95"/>
        <v>2.9007941748538622E-2</v>
      </c>
      <c r="N180" s="82"/>
    </row>
    <row r="181" spans="2:14" x14ac:dyDescent="0.25">
      <c r="B181" s="33" t="s">
        <v>27</v>
      </c>
      <c r="C181" s="1"/>
      <c r="E181" s="11"/>
      <c r="G181" s="9">
        <f>'Exh. JAP-6 Page 1'!F22</f>
        <v>5090448.3099999996</v>
      </c>
      <c r="I181" s="7"/>
      <c r="J181" s="9">
        <f>G181</f>
        <v>5090448.3099999996</v>
      </c>
      <c r="L181" s="96">
        <f t="shared" si="94"/>
        <v>0</v>
      </c>
      <c r="M181" s="82">
        <f t="shared" si="95"/>
        <v>0</v>
      </c>
      <c r="N181" s="82"/>
    </row>
    <row r="182" spans="2:14" x14ac:dyDescent="0.25">
      <c r="B182" s="12" t="s">
        <v>115</v>
      </c>
      <c r="C182" s="12"/>
      <c r="D182" s="12"/>
      <c r="E182" s="13">
        <f>SUM(E173:E181)</f>
        <v>1181770157.3770001</v>
      </c>
      <c r="F182" s="12"/>
      <c r="G182" s="14">
        <f>SUM(G173:G181)</f>
        <v>448875697.95495623</v>
      </c>
      <c r="I182" s="12"/>
      <c r="J182" s="14">
        <f>SUM(J173:J181)</f>
        <v>470536692.47800934</v>
      </c>
      <c r="L182" s="81">
        <f t="shared" si="94"/>
        <v>21660994.52305311</v>
      </c>
      <c r="M182" s="82">
        <f t="shared" si="95"/>
        <v>4.8256108810833295E-2</v>
      </c>
      <c r="N182" s="82"/>
    </row>
    <row r="183" spans="2:14" x14ac:dyDescent="0.25">
      <c r="B183" s="88"/>
      <c r="I183" s="7"/>
      <c r="J183" s="9"/>
    </row>
    <row r="184" spans="2:14" x14ac:dyDescent="0.25">
      <c r="B184" s="6" t="s">
        <v>116</v>
      </c>
      <c r="I184" s="7"/>
      <c r="J184" s="7"/>
    </row>
    <row r="185" spans="2:14" x14ac:dyDescent="0.25">
      <c r="B185" s="7" t="s">
        <v>117</v>
      </c>
      <c r="G185" s="9"/>
      <c r="I185" s="7"/>
      <c r="J185" s="9"/>
      <c r="K185" s="7"/>
    </row>
    <row r="186" spans="2:14" x14ac:dyDescent="0.25">
      <c r="B186" s="7"/>
      <c r="C186" s="15" t="s">
        <v>118</v>
      </c>
      <c r="D186" s="7">
        <v>23</v>
      </c>
      <c r="E186" s="11">
        <f>E9</f>
        <v>9329676.0139058214</v>
      </c>
      <c r="I186" s="7"/>
      <c r="J186" s="7"/>
      <c r="K186" s="7"/>
    </row>
    <row r="187" spans="2:14" x14ac:dyDescent="0.25">
      <c r="B187" s="7"/>
      <c r="C187" s="15" t="s">
        <v>119</v>
      </c>
      <c r="D187" s="7">
        <v>53</v>
      </c>
      <c r="E187" s="11">
        <f>E14</f>
        <v>7.5321521335807056</v>
      </c>
      <c r="I187" s="7"/>
      <c r="J187" s="7"/>
      <c r="K187" s="7"/>
    </row>
    <row r="188" spans="2:14" x14ac:dyDescent="0.25">
      <c r="B188" s="7"/>
      <c r="C188" s="15" t="s">
        <v>120</v>
      </c>
      <c r="D188" s="7">
        <v>31</v>
      </c>
      <c r="E188" s="11">
        <f>E23</f>
        <v>689698.95172727259</v>
      </c>
      <c r="I188" s="7"/>
      <c r="J188" s="7"/>
      <c r="K188" s="7"/>
    </row>
    <row r="189" spans="2:14" x14ac:dyDescent="0.25">
      <c r="B189" s="7"/>
      <c r="C189" s="15" t="s">
        <v>121</v>
      </c>
      <c r="D189" s="7">
        <v>41</v>
      </c>
      <c r="E189" s="11">
        <f>E39</f>
        <v>15757.12870224839</v>
      </c>
      <c r="I189" s="7"/>
      <c r="J189" s="7"/>
      <c r="K189" s="7"/>
    </row>
    <row r="190" spans="2:14" x14ac:dyDescent="0.25">
      <c r="B190" s="7"/>
      <c r="C190" s="15" t="s">
        <v>122</v>
      </c>
      <c r="D190" s="7">
        <v>85</v>
      </c>
      <c r="E190" s="11">
        <f>E66</f>
        <v>331.51750649225198</v>
      </c>
      <c r="I190" s="7"/>
      <c r="J190" s="7"/>
      <c r="K190" s="7"/>
    </row>
    <row r="191" spans="2:14" x14ac:dyDescent="0.25">
      <c r="B191" s="7"/>
      <c r="C191" s="15" t="s">
        <v>123</v>
      </c>
      <c r="D191" s="7">
        <v>86</v>
      </c>
      <c r="E191" s="11">
        <f>E91</f>
        <v>2677.7055539223543</v>
      </c>
      <c r="I191" s="7"/>
      <c r="J191" s="7"/>
      <c r="K191" s="7"/>
    </row>
    <row r="192" spans="2:14" x14ac:dyDescent="0.25">
      <c r="B192" s="7"/>
      <c r="C192" s="15" t="s">
        <v>124</v>
      </c>
      <c r="D192" s="7">
        <v>87</v>
      </c>
      <c r="E192" s="11">
        <f>E114</f>
        <v>60.132496118726415</v>
      </c>
      <c r="I192" s="7"/>
      <c r="J192" s="7"/>
      <c r="K192" s="7"/>
    </row>
    <row r="193" spans="2:11" x14ac:dyDescent="0.25">
      <c r="B193" s="7"/>
      <c r="C193" s="7" t="s">
        <v>182</v>
      </c>
      <c r="D193" s="16" t="s">
        <v>183</v>
      </c>
      <c r="E193" s="11">
        <f>E29</f>
        <v>37.000031241542246</v>
      </c>
      <c r="I193" s="7"/>
      <c r="J193" s="7"/>
      <c r="K193" s="7"/>
    </row>
    <row r="194" spans="2:11" x14ac:dyDescent="0.25">
      <c r="B194" s="7"/>
      <c r="C194" s="7" t="s">
        <v>125</v>
      </c>
      <c r="D194" s="16" t="s">
        <v>126</v>
      </c>
      <c r="E194" s="11">
        <f>E53</f>
        <v>1217.0689113856104</v>
      </c>
      <c r="I194" s="7"/>
      <c r="J194" s="7"/>
      <c r="K194" s="7"/>
    </row>
    <row r="195" spans="2:11" x14ac:dyDescent="0.25">
      <c r="B195" s="7"/>
      <c r="C195" s="7" t="s">
        <v>127</v>
      </c>
      <c r="D195" s="16" t="s">
        <v>128</v>
      </c>
      <c r="E195" s="11">
        <f>E79</f>
        <v>1226.3663564440635</v>
      </c>
      <c r="I195" s="7"/>
      <c r="J195" s="7"/>
      <c r="K195" s="7"/>
    </row>
    <row r="196" spans="2:11" x14ac:dyDescent="0.25">
      <c r="B196" s="7"/>
      <c r="C196" s="7" t="s">
        <v>129</v>
      </c>
      <c r="D196" s="16" t="s">
        <v>130</v>
      </c>
      <c r="E196" s="11">
        <f>E103</f>
        <v>31.999971930109631</v>
      </c>
      <c r="I196" s="7"/>
      <c r="J196" s="7"/>
      <c r="K196" s="7"/>
    </row>
    <row r="197" spans="2:11" x14ac:dyDescent="0.25">
      <c r="B197" s="7"/>
      <c r="C197" s="7" t="s">
        <v>131</v>
      </c>
      <c r="D197" s="16" t="s">
        <v>132</v>
      </c>
      <c r="E197" s="11">
        <f>E130</f>
        <v>112.76670855311828</v>
      </c>
      <c r="I197" s="7"/>
      <c r="J197" s="7"/>
      <c r="K197" s="7"/>
    </row>
    <row r="198" spans="2:11" x14ac:dyDescent="0.25">
      <c r="B198" s="7"/>
      <c r="C198" s="7" t="s">
        <v>133</v>
      </c>
      <c r="E198" s="13">
        <f>SUM(E186:E197)</f>
        <v>10040834.184023561</v>
      </c>
      <c r="I198" s="7"/>
      <c r="J198" s="11"/>
      <c r="K198" s="7"/>
    </row>
    <row r="199" spans="2:11" x14ac:dyDescent="0.25">
      <c r="B199" s="7"/>
      <c r="I199" s="7"/>
      <c r="J199" s="7"/>
      <c r="K199" s="7"/>
    </row>
    <row r="200" spans="2:11" x14ac:dyDescent="0.25">
      <c r="B200" s="7" t="s">
        <v>134</v>
      </c>
      <c r="I200" s="7"/>
      <c r="J200" s="7"/>
      <c r="K200" s="7"/>
    </row>
    <row r="201" spans="2:11" x14ac:dyDescent="0.25">
      <c r="B201" s="7"/>
      <c r="C201" s="15" t="s">
        <v>135</v>
      </c>
      <c r="D201" s="7">
        <v>16</v>
      </c>
      <c r="E201" s="17">
        <f>E20</f>
        <v>9592.0450000000001</v>
      </c>
      <c r="I201" s="7"/>
      <c r="J201" s="17"/>
      <c r="K201" s="7"/>
    </row>
    <row r="202" spans="2:11" x14ac:dyDescent="0.25">
      <c r="B202" s="7"/>
      <c r="C202" s="15" t="s">
        <v>118</v>
      </c>
      <c r="D202" s="7">
        <v>23</v>
      </c>
      <c r="E202" s="17">
        <f>E10</f>
        <v>603105552.93699992</v>
      </c>
      <c r="I202" s="7"/>
      <c r="J202" s="17"/>
      <c r="K202" s="7"/>
    </row>
    <row r="203" spans="2:11" x14ac:dyDescent="0.25">
      <c r="B203" s="7"/>
      <c r="C203" s="15" t="s">
        <v>119</v>
      </c>
      <c r="D203" s="7">
        <v>53</v>
      </c>
      <c r="E203" s="17">
        <f>E15</f>
        <v>295.27300000000002</v>
      </c>
      <c r="I203" s="7"/>
      <c r="J203" s="17"/>
      <c r="K203" s="7"/>
    </row>
    <row r="204" spans="2:11" x14ac:dyDescent="0.25">
      <c r="B204" s="7"/>
      <c r="C204" s="18" t="s">
        <v>120</v>
      </c>
      <c r="D204" s="7">
        <v>31</v>
      </c>
      <c r="E204" s="17">
        <f>E24</f>
        <v>228604732.46999997</v>
      </c>
      <c r="I204" s="7"/>
      <c r="J204" s="17"/>
      <c r="K204" s="7"/>
    </row>
    <row r="205" spans="2:11" x14ac:dyDescent="0.25">
      <c r="B205" s="7"/>
      <c r="C205" s="15" t="s">
        <v>121</v>
      </c>
      <c r="D205" s="7">
        <v>41</v>
      </c>
      <c r="E205" s="11">
        <f>E47</f>
        <v>63966868.017000005</v>
      </c>
      <c r="I205" s="7"/>
      <c r="J205" s="17"/>
      <c r="K205" s="7"/>
    </row>
    <row r="206" spans="2:11" x14ac:dyDescent="0.25">
      <c r="B206" s="7"/>
      <c r="C206" s="15" t="s">
        <v>122</v>
      </c>
      <c r="D206" s="7">
        <v>85</v>
      </c>
      <c r="E206" s="11">
        <f>E75</f>
        <v>16307789.426000001</v>
      </c>
      <c r="I206" s="7"/>
      <c r="J206" s="11"/>
      <c r="K206" s="7"/>
    </row>
    <row r="207" spans="2:11" x14ac:dyDescent="0.25">
      <c r="B207" s="7"/>
      <c r="C207" s="15" t="s">
        <v>123</v>
      </c>
      <c r="D207" s="7">
        <v>86</v>
      </c>
      <c r="E207" s="11">
        <f>E99</f>
        <v>9107268.5420000013</v>
      </c>
      <c r="I207" s="7"/>
      <c r="J207" s="11"/>
      <c r="K207" s="7"/>
    </row>
    <row r="208" spans="2:11" x14ac:dyDescent="0.25">
      <c r="B208" s="7"/>
      <c r="C208" s="15" t="s">
        <v>124</v>
      </c>
      <c r="D208" s="7">
        <v>87</v>
      </c>
      <c r="E208" s="11">
        <f>E126</f>
        <v>23273158.627999999</v>
      </c>
      <c r="I208" s="7"/>
      <c r="J208" s="11"/>
      <c r="K208" s="7"/>
    </row>
    <row r="209" spans="2:11" x14ac:dyDescent="0.25">
      <c r="B209" s="7"/>
      <c r="C209" s="7" t="s">
        <v>182</v>
      </c>
      <c r="D209" s="16" t="s">
        <v>183</v>
      </c>
      <c r="E209" s="11">
        <f>E30</f>
        <v>43413.770000000004</v>
      </c>
      <c r="I209" s="7"/>
      <c r="J209" s="11"/>
      <c r="K209" s="7"/>
    </row>
    <row r="210" spans="2:11" x14ac:dyDescent="0.25">
      <c r="B210" s="7"/>
      <c r="C210" s="7" t="s">
        <v>125</v>
      </c>
      <c r="D210" s="16" t="s">
        <v>126</v>
      </c>
      <c r="E210" s="11">
        <f>E61</f>
        <v>19254249.518999998</v>
      </c>
      <c r="I210" s="7"/>
      <c r="J210" s="11"/>
      <c r="K210" s="7"/>
    </row>
    <row r="211" spans="2:11" x14ac:dyDescent="0.25">
      <c r="B211" s="7"/>
      <c r="C211" s="7" t="s">
        <v>127</v>
      </c>
      <c r="D211" s="16" t="s">
        <v>128</v>
      </c>
      <c r="E211" s="11">
        <f>E87</f>
        <v>76582587.120000005</v>
      </c>
      <c r="I211" s="7"/>
      <c r="J211" s="11"/>
      <c r="K211" s="7"/>
    </row>
    <row r="212" spans="2:11" x14ac:dyDescent="0.25">
      <c r="B212" s="7"/>
      <c r="C212" s="7" t="s">
        <v>129</v>
      </c>
      <c r="D212" s="16" t="s">
        <v>130</v>
      </c>
      <c r="E212" s="11">
        <f>E110</f>
        <v>354636.69999999995</v>
      </c>
      <c r="I212" s="7"/>
      <c r="J212" s="11"/>
      <c r="K212" s="7"/>
    </row>
    <row r="213" spans="2:11" x14ac:dyDescent="0.25">
      <c r="B213" s="7"/>
      <c r="C213" s="7" t="s">
        <v>131</v>
      </c>
      <c r="D213" s="16" t="s">
        <v>132</v>
      </c>
      <c r="E213" s="11">
        <f>E141</f>
        <v>103884321.25000001</v>
      </c>
      <c r="I213" s="7"/>
      <c r="J213" s="11"/>
      <c r="K213" s="7"/>
    </row>
    <row r="214" spans="2:11" x14ac:dyDescent="0.25">
      <c r="B214" s="7"/>
      <c r="C214" s="8" t="s">
        <v>25</v>
      </c>
      <c r="D214" s="16"/>
      <c r="E214" s="11">
        <f>E170</f>
        <v>37275691.68</v>
      </c>
      <c r="I214" s="7"/>
      <c r="J214" s="11"/>
      <c r="K214" s="7"/>
    </row>
    <row r="215" spans="2:11" x14ac:dyDescent="0.25">
      <c r="B215" s="7"/>
      <c r="C215" s="7" t="s">
        <v>136</v>
      </c>
      <c r="E215" s="13">
        <f>SUM(E201:E214)</f>
        <v>1181770157.3770001</v>
      </c>
      <c r="I215" s="7"/>
      <c r="J215" s="11"/>
      <c r="K215" s="7"/>
    </row>
    <row r="216" spans="2:11" x14ac:dyDescent="0.25">
      <c r="B216" s="7"/>
      <c r="E216" s="11"/>
      <c r="I216" s="7"/>
      <c r="J216" s="11"/>
      <c r="K216" s="7"/>
    </row>
    <row r="217" spans="2:11" x14ac:dyDescent="0.25">
      <c r="B217" s="7" t="s">
        <v>137</v>
      </c>
      <c r="I217" s="7"/>
      <c r="J217" s="7"/>
      <c r="K217" s="7"/>
    </row>
    <row r="218" spans="2:11" x14ac:dyDescent="0.25">
      <c r="B218" s="7"/>
      <c r="C218" s="7" t="s">
        <v>138</v>
      </c>
      <c r="D218" s="7">
        <v>61</v>
      </c>
      <c r="E218" s="11">
        <f>E35</f>
        <v>0</v>
      </c>
      <c r="I218" s="7"/>
      <c r="J218" s="11"/>
      <c r="K218" s="7"/>
    </row>
    <row r="219" spans="2:11" x14ac:dyDescent="0.25">
      <c r="B219" s="7"/>
      <c r="C219" s="15" t="s">
        <v>121</v>
      </c>
      <c r="D219" s="7">
        <v>41</v>
      </c>
      <c r="E219" s="11">
        <f>E41</f>
        <v>3902427.7730000005</v>
      </c>
      <c r="I219" s="7"/>
      <c r="J219" s="11"/>
      <c r="K219" s="7"/>
    </row>
    <row r="220" spans="2:11" x14ac:dyDescent="0.25">
      <c r="B220" s="7"/>
      <c r="C220" s="15" t="s">
        <v>122</v>
      </c>
      <c r="D220" s="7">
        <v>85</v>
      </c>
      <c r="E220" s="11">
        <f>E67</f>
        <v>84395.974999999991</v>
      </c>
      <c r="I220" s="7"/>
      <c r="J220" s="11"/>
      <c r="K220" s="7"/>
    </row>
    <row r="221" spans="2:11" x14ac:dyDescent="0.25">
      <c r="B221" s="7"/>
      <c r="C221" s="15" t="s">
        <v>123</v>
      </c>
      <c r="D221" s="7">
        <v>86</v>
      </c>
      <c r="E221" s="11">
        <f>E92</f>
        <v>82161.953000000009</v>
      </c>
      <c r="I221" s="7"/>
      <c r="J221" s="11"/>
      <c r="K221" s="7"/>
    </row>
    <row r="222" spans="2:11" x14ac:dyDescent="0.25">
      <c r="B222" s="7"/>
      <c r="C222" s="15" t="s">
        <v>124</v>
      </c>
      <c r="D222" s="7">
        <v>87</v>
      </c>
      <c r="E222" s="11">
        <f>E115</f>
        <v>0</v>
      </c>
      <c r="I222" s="7"/>
      <c r="J222" s="11"/>
      <c r="K222" s="7"/>
    </row>
    <row r="223" spans="2:11" x14ac:dyDescent="0.25">
      <c r="B223" s="7"/>
      <c r="C223" s="7" t="s">
        <v>125</v>
      </c>
      <c r="D223" s="16" t="s">
        <v>126</v>
      </c>
      <c r="E223" s="11">
        <f>E55</f>
        <v>1169396.5019999999</v>
      </c>
      <c r="I223" s="7"/>
      <c r="J223" s="11"/>
      <c r="K223" s="7"/>
    </row>
    <row r="224" spans="2:11" x14ac:dyDescent="0.25">
      <c r="B224" s="7"/>
      <c r="C224" s="7" t="s">
        <v>127</v>
      </c>
      <c r="D224" s="16" t="s">
        <v>128</v>
      </c>
      <c r="E224" s="11">
        <f>E80</f>
        <v>686276.33400000003</v>
      </c>
      <c r="I224" s="7"/>
      <c r="J224" s="11"/>
      <c r="K224" s="7"/>
    </row>
    <row r="225" spans="2:25" x14ac:dyDescent="0.25">
      <c r="B225" s="7"/>
      <c r="C225" s="7" t="s">
        <v>139</v>
      </c>
      <c r="D225" s="16" t="s">
        <v>130</v>
      </c>
      <c r="E225" s="11">
        <f>E104</f>
        <v>9750</v>
      </c>
      <c r="I225" s="7"/>
      <c r="J225" s="11"/>
      <c r="K225" s="7"/>
    </row>
    <row r="226" spans="2:25" x14ac:dyDescent="0.25">
      <c r="B226" s="7"/>
      <c r="C226" s="7" t="s">
        <v>131</v>
      </c>
      <c r="D226" s="16" t="s">
        <v>132</v>
      </c>
      <c r="E226" s="11">
        <f>E131</f>
        <v>287412</v>
      </c>
      <c r="I226" s="7"/>
      <c r="J226" s="11"/>
      <c r="K226" s="7"/>
    </row>
    <row r="227" spans="2:25" x14ac:dyDescent="0.25">
      <c r="B227" s="7"/>
      <c r="C227" s="7" t="s">
        <v>28</v>
      </c>
      <c r="E227" s="13">
        <f>SUM(E218:E226)</f>
        <v>6221820.5370000005</v>
      </c>
      <c r="I227" s="7"/>
      <c r="J227" s="11"/>
      <c r="K227" s="7"/>
    </row>
    <row r="228" spans="2:25" x14ac:dyDescent="0.25">
      <c r="J228" s="7"/>
      <c r="K228" s="7"/>
    </row>
    <row r="229" spans="2:25" x14ac:dyDescent="0.25">
      <c r="B229" s="1" t="s">
        <v>140</v>
      </c>
      <c r="J229" s="7"/>
      <c r="K229" s="7"/>
    </row>
    <row r="230" spans="2:25" x14ac:dyDescent="0.25">
      <c r="J230" s="7"/>
      <c r="K230" s="7"/>
    </row>
    <row r="233" spans="2:25" ht="15.75" thickBot="1" x14ac:dyDescent="0.3"/>
    <row r="234" spans="2:25" ht="15.75" thickBot="1" x14ac:dyDescent="0.3">
      <c r="B234" s="132" t="s">
        <v>162</v>
      </c>
      <c r="C234" s="20"/>
      <c r="D234" s="20"/>
      <c r="E234" s="21">
        <f>E215-'Exh. JAP-6 Page 1'!C23</f>
        <v>0</v>
      </c>
      <c r="F234" s="22"/>
      <c r="G234" s="22">
        <f>G182-'Exh. JAP-6 Page 1'!F23</f>
        <v>-1.3857781887054443E-2</v>
      </c>
      <c r="H234" s="22"/>
      <c r="I234" s="22"/>
      <c r="J234" s="22">
        <f>J182-'Exh. JAP-6 Page 1'!K23</f>
        <v>0</v>
      </c>
      <c r="K234" s="22"/>
      <c r="L234" s="22"/>
      <c r="M234" s="22"/>
      <c r="N234" s="22"/>
      <c r="O234" s="22"/>
      <c r="P234" s="22"/>
      <c r="Q234" s="23"/>
      <c r="R234" s="19"/>
      <c r="S234" s="19"/>
      <c r="T234" s="19"/>
      <c r="U234" s="19"/>
      <c r="V234" s="19"/>
      <c r="W234" s="19"/>
      <c r="X234" s="19"/>
      <c r="Y234" s="19"/>
    </row>
    <row r="235" spans="2:25" x14ac:dyDescent="0.25"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2:25" x14ac:dyDescent="0.25"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2:25" x14ac:dyDescent="0.25"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2:25" x14ac:dyDescent="0.25"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2:25" x14ac:dyDescent="0.25"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</sheetData>
  <mergeCells count="4">
    <mergeCell ref="B1:Q1"/>
    <mergeCell ref="B2:Q2"/>
    <mergeCell ref="B3:Q3"/>
    <mergeCell ref="B4:Q4"/>
  </mergeCells>
  <printOptions horizontalCentered="1"/>
  <pageMargins left="0.54" right="0.46" top="0.75" bottom="0.75" header="0.3" footer="0.3"/>
  <pageSetup scale="65" fitToHeight="5" orientation="landscape" blackAndWhite="1" horizontalDpi="300" verticalDpi="300" r:id="rId1"/>
  <headerFooter>
    <oddFooter>&amp;R&amp;A</oddFooter>
  </headerFooter>
  <rowBreaks count="5" manualBreakCount="5">
    <brk id="50" min="1" max="14" man="1"/>
    <brk id="89" min="1" max="14" man="1"/>
    <brk id="128" min="1" max="14" man="1"/>
    <brk id="170" min="1" max="14" man="1"/>
    <brk id="19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0"/>
  <sheetViews>
    <sheetView zoomScaleNormal="100" workbookViewId="0">
      <selection activeCell="F15" sqref="F15"/>
    </sheetView>
  </sheetViews>
  <sheetFormatPr defaultColWidth="9.140625" defaultRowHeight="15" x14ac:dyDescent="0.25"/>
  <cols>
    <col min="1" max="1" width="3.28515625" style="1" customWidth="1"/>
    <col min="2" max="2" width="43.7109375" style="1" bestFit="1" customWidth="1"/>
    <col min="3" max="3" width="10.5703125" style="1" customWidth="1"/>
    <col min="4" max="4" width="15.42578125" style="1" customWidth="1"/>
    <col min="5" max="16384" width="9.140625" style="1"/>
  </cols>
  <sheetData>
    <row r="1" spans="1:4" x14ac:dyDescent="0.25">
      <c r="A1" s="137" t="s">
        <v>0</v>
      </c>
      <c r="B1" s="137"/>
      <c r="C1" s="137"/>
      <c r="D1" s="137"/>
    </row>
    <row r="2" spans="1:4" x14ac:dyDescent="0.25">
      <c r="A2" s="137" t="s">
        <v>184</v>
      </c>
      <c r="B2" s="137"/>
      <c r="C2" s="137"/>
      <c r="D2" s="137"/>
    </row>
    <row r="3" spans="1:4" x14ac:dyDescent="0.25">
      <c r="A3" s="137" t="s">
        <v>190</v>
      </c>
      <c r="B3" s="137"/>
      <c r="C3" s="137"/>
      <c r="D3" s="137"/>
    </row>
    <row r="4" spans="1:4" x14ac:dyDescent="0.25">
      <c r="A4" s="137" t="s">
        <v>186</v>
      </c>
      <c r="B4" s="137"/>
      <c r="C4" s="137"/>
      <c r="D4" s="137"/>
    </row>
    <row r="5" spans="1:4" x14ac:dyDescent="0.25">
      <c r="A5" s="26"/>
      <c r="B5" s="26"/>
      <c r="C5" s="26"/>
      <c r="D5" s="26"/>
    </row>
    <row r="6" spans="1:4" x14ac:dyDescent="0.25">
      <c r="A6" s="133"/>
      <c r="B6" s="133"/>
      <c r="C6" s="133"/>
      <c r="D6" s="66" t="s">
        <v>144</v>
      </c>
    </row>
    <row r="7" spans="1:4" x14ac:dyDescent="0.25">
      <c r="B7" s="66"/>
      <c r="C7" s="66"/>
      <c r="D7" s="66" t="s">
        <v>189</v>
      </c>
    </row>
    <row r="8" spans="1:4" x14ac:dyDescent="0.25">
      <c r="A8" s="71"/>
      <c r="B8" s="31" t="s">
        <v>31</v>
      </c>
      <c r="C8" s="31" t="s">
        <v>32</v>
      </c>
      <c r="D8" s="31" t="s">
        <v>34</v>
      </c>
    </row>
    <row r="9" spans="1:4" x14ac:dyDescent="0.25">
      <c r="A9" s="77" t="s">
        <v>36</v>
      </c>
      <c r="C9" s="77"/>
    </row>
    <row r="10" spans="1:4" x14ac:dyDescent="0.25">
      <c r="B10" s="79" t="s">
        <v>37</v>
      </c>
      <c r="C10" s="79" t="s">
        <v>38</v>
      </c>
      <c r="D10" s="134">
        <f>'Exh. JAP-6 Pages 2-6'!O9</f>
        <v>0.51999999999999957</v>
      </c>
    </row>
    <row r="11" spans="1:4" x14ac:dyDescent="0.25">
      <c r="B11" s="7" t="s">
        <v>39</v>
      </c>
      <c r="C11" s="7" t="s">
        <v>40</v>
      </c>
      <c r="D11" s="135">
        <f>'Exh. JAP-6 Pages 2-6'!O10</f>
        <v>1.644000000000001E-2</v>
      </c>
    </row>
    <row r="12" spans="1:4" x14ac:dyDescent="0.25">
      <c r="B12" s="88"/>
      <c r="C12" s="88"/>
    </row>
    <row r="13" spans="1:4" x14ac:dyDescent="0.25">
      <c r="A13" s="92" t="s">
        <v>42</v>
      </c>
      <c r="C13" s="92"/>
    </row>
    <row r="14" spans="1:4" x14ac:dyDescent="0.25">
      <c r="A14" s="2"/>
      <c r="B14" s="79" t="s">
        <v>37</v>
      </c>
      <c r="C14" s="79" t="s">
        <v>38</v>
      </c>
      <c r="D14" s="134">
        <f>'Exh. JAP-6 Pages 2-6'!O14</f>
        <v>0.51999999999999957</v>
      </c>
    </row>
    <row r="15" spans="1:4" x14ac:dyDescent="0.25">
      <c r="A15" s="2"/>
      <c r="B15" s="7" t="s">
        <v>39</v>
      </c>
      <c r="C15" s="7" t="s">
        <v>40</v>
      </c>
      <c r="D15" s="135">
        <f>'Exh. JAP-6 Pages 2-6'!O15</f>
        <v>1.644000000000001E-2</v>
      </c>
    </row>
    <row r="16" spans="1:4" x14ac:dyDescent="0.25">
      <c r="A16" s="2"/>
      <c r="B16" s="97"/>
      <c r="C16" s="97"/>
    </row>
    <row r="17" spans="1:4" x14ac:dyDescent="0.25">
      <c r="A17" s="92" t="s">
        <v>43</v>
      </c>
      <c r="C17" s="77"/>
    </row>
    <row r="18" spans="1:4" x14ac:dyDescent="0.25">
      <c r="B18" s="7" t="s">
        <v>39</v>
      </c>
      <c r="C18" s="98" t="s">
        <v>44</v>
      </c>
      <c r="D18" s="134">
        <f>'Exh. JAP-6 Pages 2-6'!O19</f>
        <v>0.46000000000000085</v>
      </c>
    </row>
    <row r="19" spans="1:4" x14ac:dyDescent="0.25">
      <c r="B19" s="7"/>
      <c r="C19" s="7"/>
      <c r="D19" s="136"/>
    </row>
    <row r="20" spans="1:4" x14ac:dyDescent="0.25">
      <c r="A20" s="77" t="s">
        <v>45</v>
      </c>
      <c r="C20" s="88"/>
      <c r="D20" s="136"/>
    </row>
    <row r="21" spans="1:4" x14ac:dyDescent="0.25">
      <c r="B21" s="79" t="s">
        <v>37</v>
      </c>
      <c r="C21" s="79" t="s">
        <v>38</v>
      </c>
      <c r="D21" s="134">
        <f>'Exh. JAP-6 Pages 2-6'!O23</f>
        <v>1.6800000000000068</v>
      </c>
    </row>
    <row r="22" spans="1:4" x14ac:dyDescent="0.25">
      <c r="B22" s="7" t="s">
        <v>39</v>
      </c>
      <c r="C22" s="7" t="s">
        <v>40</v>
      </c>
      <c r="D22" s="135">
        <f>'Exh. JAP-6 Pages 2-6'!O24</f>
        <v>1.5359999999999985E-2</v>
      </c>
    </row>
    <row r="23" spans="1:4" x14ac:dyDescent="0.25">
      <c r="B23" s="79" t="s">
        <v>47</v>
      </c>
      <c r="C23" s="7" t="s">
        <v>40</v>
      </c>
      <c r="D23" s="135">
        <f>'Exh. JAP-6 Pages 2-6'!O25</f>
        <v>4.6000000000000034E-4</v>
      </c>
    </row>
    <row r="24" spans="1:4" x14ac:dyDescent="0.25">
      <c r="B24" s="7"/>
      <c r="C24" s="7"/>
      <c r="D24" s="136"/>
    </row>
    <row r="25" spans="1:4" x14ac:dyDescent="0.25">
      <c r="A25" s="92" t="s">
        <v>46</v>
      </c>
      <c r="C25" s="88"/>
      <c r="D25" s="136"/>
    </row>
    <row r="26" spans="1:4" x14ac:dyDescent="0.25">
      <c r="A26" s="7"/>
      <c r="B26" s="79" t="s">
        <v>37</v>
      </c>
      <c r="C26" s="79" t="s">
        <v>38</v>
      </c>
      <c r="D26" s="134">
        <f>'Exh. JAP-6 Pages 2-6'!O29</f>
        <v>18.439999999999998</v>
      </c>
    </row>
    <row r="27" spans="1:4" x14ac:dyDescent="0.25">
      <c r="A27" s="7"/>
      <c r="B27" s="7" t="s">
        <v>39</v>
      </c>
      <c r="C27" s="7" t="s">
        <v>40</v>
      </c>
      <c r="D27" s="135">
        <f>'Exh. JAP-6 Pages 2-6'!O30</f>
        <v>1.5359999999999985E-2</v>
      </c>
    </row>
    <row r="28" spans="1:4" x14ac:dyDescent="0.25">
      <c r="A28" s="7"/>
      <c r="B28" s="7"/>
      <c r="C28" s="7"/>
      <c r="D28" s="136"/>
    </row>
    <row r="29" spans="1:4" x14ac:dyDescent="0.25">
      <c r="A29" s="92" t="s">
        <v>48</v>
      </c>
      <c r="C29" s="88"/>
      <c r="D29" s="136"/>
    </row>
    <row r="30" spans="1:4" x14ac:dyDescent="0.25">
      <c r="B30" s="7" t="s">
        <v>49</v>
      </c>
      <c r="C30" s="7" t="s">
        <v>49</v>
      </c>
      <c r="D30" s="134">
        <f>'Exh. JAP-6 Pages 2-6'!O35</f>
        <v>9.999999999999995E-3</v>
      </c>
    </row>
    <row r="31" spans="1:4" x14ac:dyDescent="0.25">
      <c r="B31" s="8"/>
      <c r="C31" s="7"/>
      <c r="D31" s="136"/>
    </row>
    <row r="32" spans="1:4" x14ac:dyDescent="0.25">
      <c r="A32" s="92" t="s">
        <v>50</v>
      </c>
      <c r="C32" s="88"/>
      <c r="D32" s="136"/>
    </row>
    <row r="33" spans="1:4" x14ac:dyDescent="0.25">
      <c r="B33" s="79" t="s">
        <v>37</v>
      </c>
      <c r="C33" s="79" t="s">
        <v>38</v>
      </c>
      <c r="D33" s="134">
        <f>'Exh. JAP-6 Pages 2-6'!O39</f>
        <v>5.9099999999999966</v>
      </c>
    </row>
    <row r="34" spans="1:4" x14ac:dyDescent="0.25">
      <c r="B34" s="8" t="s">
        <v>51</v>
      </c>
      <c r="C34" s="79" t="s">
        <v>38</v>
      </c>
      <c r="D34" s="134">
        <f>'Exh. JAP-6 Pages 2-6'!O40</f>
        <v>6.4399999999999977</v>
      </c>
    </row>
    <row r="35" spans="1:4" x14ac:dyDescent="0.25">
      <c r="B35" s="8" t="s">
        <v>52</v>
      </c>
      <c r="C35" s="7" t="s">
        <v>49</v>
      </c>
      <c r="D35" s="134">
        <f>'Exh. JAP-6 Pages 2-6'!O41</f>
        <v>8.0000000000000071E-2</v>
      </c>
    </row>
    <row r="36" spans="1:4" x14ac:dyDescent="0.25">
      <c r="B36" s="8"/>
      <c r="C36" s="7"/>
      <c r="D36" s="136"/>
    </row>
    <row r="37" spans="1:4" x14ac:dyDescent="0.25">
      <c r="B37" s="8" t="s">
        <v>53</v>
      </c>
      <c r="C37" s="7"/>
      <c r="D37" s="136"/>
    </row>
    <row r="38" spans="1:4" x14ac:dyDescent="0.25">
      <c r="B38" s="8" t="s">
        <v>54</v>
      </c>
      <c r="C38" s="7" t="s">
        <v>40</v>
      </c>
      <c r="D38" s="135">
        <f>'Exh. JAP-6 Pages 2-6'!O44</f>
        <v>7.1499999999999897E-3</v>
      </c>
    </row>
    <row r="39" spans="1:4" x14ac:dyDescent="0.25">
      <c r="B39" s="8" t="s">
        <v>56</v>
      </c>
      <c r="C39" s="7" t="s">
        <v>40</v>
      </c>
      <c r="D39" s="135">
        <f>'Exh. JAP-6 Pages 2-6'!O45</f>
        <v>7.1499999999999897E-3</v>
      </c>
    </row>
    <row r="40" spans="1:4" x14ac:dyDescent="0.25">
      <c r="B40" s="8" t="s">
        <v>57</v>
      </c>
      <c r="C40" s="7" t="s">
        <v>40</v>
      </c>
      <c r="D40" s="135">
        <f>'Exh. JAP-6 Pages 2-6'!O46</f>
        <v>5.0899999999999973E-3</v>
      </c>
    </row>
    <row r="41" spans="1:4" x14ac:dyDescent="0.25">
      <c r="B41" s="8"/>
      <c r="C41" s="7"/>
      <c r="D41" s="135"/>
    </row>
    <row r="42" spans="1:4" x14ac:dyDescent="0.25">
      <c r="B42" s="8" t="s">
        <v>47</v>
      </c>
      <c r="C42" s="7" t="s">
        <v>40</v>
      </c>
      <c r="D42" s="135">
        <f>'Exh. JAP-6 Pages 2-6'!O49</f>
        <v>3.4000000000000002E-4</v>
      </c>
    </row>
    <row r="43" spans="1:4" x14ac:dyDescent="0.25">
      <c r="B43" s="79"/>
      <c r="C43" s="88"/>
      <c r="D43" s="136"/>
    </row>
    <row r="44" spans="1:4" x14ac:dyDescent="0.25">
      <c r="A44" s="92" t="s">
        <v>59</v>
      </c>
      <c r="B44" s="2"/>
      <c r="C44" s="88"/>
      <c r="D44" s="136"/>
    </row>
    <row r="45" spans="1:4" x14ac:dyDescent="0.25">
      <c r="A45" s="8"/>
      <c r="B45" s="79" t="s">
        <v>37</v>
      </c>
      <c r="C45" s="79" t="s">
        <v>38</v>
      </c>
      <c r="D45" s="134">
        <f>'Exh. JAP-6 Pages 2-6'!O53</f>
        <v>22.810000000000002</v>
      </c>
    </row>
    <row r="46" spans="1:4" x14ac:dyDescent="0.25">
      <c r="A46" s="8"/>
      <c r="B46" s="8" t="s">
        <v>51</v>
      </c>
      <c r="C46" s="79" t="s">
        <v>38</v>
      </c>
      <c r="D46" s="134">
        <f>'Exh. JAP-6 Pages 2-6'!O54</f>
        <v>6.4399999999999977</v>
      </c>
    </row>
    <row r="47" spans="1:4" x14ac:dyDescent="0.25">
      <c r="A47" s="8"/>
      <c r="B47" s="8" t="s">
        <v>52</v>
      </c>
      <c r="C47" s="7" t="s">
        <v>49</v>
      </c>
      <c r="D47" s="134">
        <f>'Exh. JAP-6 Pages 2-6'!O55</f>
        <v>8.0000000000000071E-2</v>
      </c>
    </row>
    <row r="48" spans="1:4" x14ac:dyDescent="0.25">
      <c r="A48" s="8"/>
      <c r="B48" s="8"/>
      <c r="C48" s="7"/>
      <c r="D48" s="136"/>
    </row>
    <row r="49" spans="1:4" x14ac:dyDescent="0.25">
      <c r="A49" s="8"/>
      <c r="B49" s="8" t="s">
        <v>53</v>
      </c>
      <c r="C49" s="7"/>
      <c r="D49" s="136"/>
    </row>
    <row r="50" spans="1:4" x14ac:dyDescent="0.25">
      <c r="A50" s="8"/>
      <c r="B50" s="8" t="s">
        <v>54</v>
      </c>
      <c r="C50" s="7" t="s">
        <v>40</v>
      </c>
      <c r="D50" s="135">
        <f>'Exh. JAP-6 Pages 2-6'!O58</f>
        <v>7.1499999999999897E-3</v>
      </c>
    </row>
    <row r="51" spans="1:4" x14ac:dyDescent="0.25">
      <c r="A51" s="8"/>
      <c r="B51" s="8" t="s">
        <v>56</v>
      </c>
      <c r="C51" s="7" t="s">
        <v>40</v>
      </c>
      <c r="D51" s="135">
        <f>'Exh. JAP-6 Pages 2-6'!O59</f>
        <v>7.1499999999999897E-3</v>
      </c>
    </row>
    <row r="52" spans="1:4" x14ac:dyDescent="0.25">
      <c r="A52" s="8"/>
      <c r="B52" s="8" t="s">
        <v>57</v>
      </c>
      <c r="C52" s="7" t="s">
        <v>40</v>
      </c>
      <c r="D52" s="135">
        <f>'Exh. JAP-6 Pages 2-6'!O60</f>
        <v>5.0899999999999973E-3</v>
      </c>
    </row>
    <row r="53" spans="1:4" x14ac:dyDescent="0.25">
      <c r="A53" s="8"/>
      <c r="B53" s="79"/>
      <c r="C53" s="88"/>
      <c r="D53" s="136"/>
    </row>
    <row r="54" spans="1:4" x14ac:dyDescent="0.25">
      <c r="A54" s="77" t="s">
        <v>60</v>
      </c>
      <c r="C54" s="88"/>
      <c r="D54" s="136"/>
    </row>
    <row r="55" spans="1:4" x14ac:dyDescent="0.25">
      <c r="B55" s="88" t="s">
        <v>37</v>
      </c>
      <c r="C55" s="88" t="s">
        <v>38</v>
      </c>
      <c r="D55" s="134">
        <f>'Exh. JAP-6 Pages 2-6'!O66</f>
        <v>24.589999999999918</v>
      </c>
    </row>
    <row r="56" spans="1:4" x14ac:dyDescent="0.25">
      <c r="B56" s="7" t="s">
        <v>52</v>
      </c>
      <c r="C56" s="7" t="s">
        <v>49</v>
      </c>
      <c r="D56" s="134">
        <f>'Exh. JAP-6 Pages 2-6'!O67</f>
        <v>5.0000000000000044E-2</v>
      </c>
    </row>
    <row r="57" spans="1:4" x14ac:dyDescent="0.25">
      <c r="B57" s="7"/>
      <c r="C57" s="7"/>
      <c r="D57" s="136"/>
    </row>
    <row r="58" spans="1:4" x14ac:dyDescent="0.25">
      <c r="B58" s="7" t="s">
        <v>53</v>
      </c>
      <c r="C58" s="7"/>
      <c r="D58" s="136"/>
    </row>
    <row r="59" spans="1:4" x14ac:dyDescent="0.25">
      <c r="B59" s="7" t="s">
        <v>62</v>
      </c>
      <c r="C59" s="7" t="s">
        <v>40</v>
      </c>
      <c r="D59" s="135">
        <f>'Exh. JAP-6 Pages 2-6'!O72</f>
        <v>4.4499999999999956E-3</v>
      </c>
    </row>
    <row r="60" spans="1:4" x14ac:dyDescent="0.25">
      <c r="B60" s="7" t="s">
        <v>63</v>
      </c>
      <c r="C60" s="7" t="s">
        <v>40</v>
      </c>
      <c r="D60" s="135">
        <f>'Exh. JAP-6 Pages 2-6'!O73</f>
        <v>2.2000000000000006E-3</v>
      </c>
    </row>
    <row r="61" spans="1:4" x14ac:dyDescent="0.25">
      <c r="B61" s="7" t="s">
        <v>64</v>
      </c>
      <c r="C61" s="7" t="s">
        <v>40</v>
      </c>
      <c r="D61" s="135">
        <f>'Exh. JAP-6 Pages 2-6'!O74</f>
        <v>2.1100000000000008E-3</v>
      </c>
    </row>
    <row r="62" spans="1:4" x14ac:dyDescent="0.25">
      <c r="B62" s="7"/>
      <c r="C62" s="7"/>
      <c r="D62" s="136"/>
    </row>
    <row r="63" spans="1:4" x14ac:dyDescent="0.25">
      <c r="B63" s="7" t="s">
        <v>47</v>
      </c>
      <c r="C63" s="7" t="s">
        <v>40</v>
      </c>
      <c r="D63" s="135">
        <f>'Exh. JAP-6 Pages 2-6'!O68</f>
        <v>3.2999999999999956E-4</v>
      </c>
    </row>
    <row r="64" spans="1:4" x14ac:dyDescent="0.25">
      <c r="B64" s="88"/>
      <c r="C64" s="88"/>
      <c r="D64" s="136"/>
    </row>
    <row r="65" spans="1:4" x14ac:dyDescent="0.25">
      <c r="A65" s="77" t="s">
        <v>65</v>
      </c>
      <c r="C65" s="88"/>
      <c r="D65" s="136"/>
    </row>
    <row r="66" spans="1:4" x14ac:dyDescent="0.25">
      <c r="B66" s="88" t="s">
        <v>37</v>
      </c>
      <c r="C66" s="88" t="s">
        <v>38</v>
      </c>
      <c r="D66" s="134">
        <f>'Exh. JAP-6 Pages 2-6'!O79</f>
        <v>39.349999999999909</v>
      </c>
    </row>
    <row r="67" spans="1:4" x14ac:dyDescent="0.25">
      <c r="B67" s="7" t="s">
        <v>52</v>
      </c>
      <c r="C67" s="7" t="s">
        <v>49</v>
      </c>
      <c r="D67" s="134">
        <f>'Exh. JAP-6 Pages 2-6'!O80</f>
        <v>5.0000000000000044E-2</v>
      </c>
    </row>
    <row r="68" spans="1:4" x14ac:dyDescent="0.25">
      <c r="B68" s="7"/>
      <c r="C68" s="7"/>
      <c r="D68" s="136"/>
    </row>
    <row r="69" spans="1:4" x14ac:dyDescent="0.25">
      <c r="B69" s="7" t="s">
        <v>53</v>
      </c>
      <c r="C69" s="7"/>
      <c r="D69" s="136"/>
    </row>
    <row r="70" spans="1:4" x14ac:dyDescent="0.25">
      <c r="B70" s="7" t="s">
        <v>62</v>
      </c>
      <c r="C70" s="7" t="s">
        <v>40</v>
      </c>
      <c r="D70" s="135">
        <f>'Exh. JAP-6 Pages 2-6'!O84</f>
        <v>4.4499999999999956E-3</v>
      </c>
    </row>
    <row r="71" spans="1:4" x14ac:dyDescent="0.25">
      <c r="B71" s="7" t="s">
        <v>63</v>
      </c>
      <c r="C71" s="7" t="s">
        <v>40</v>
      </c>
      <c r="D71" s="135">
        <f>'Exh. JAP-6 Pages 2-6'!O85</f>
        <v>2.2000000000000006E-3</v>
      </c>
    </row>
    <row r="72" spans="1:4" x14ac:dyDescent="0.25">
      <c r="B72" s="7" t="s">
        <v>66</v>
      </c>
      <c r="C72" s="7" t="s">
        <v>40</v>
      </c>
      <c r="D72" s="135">
        <f>'Exh. JAP-6 Pages 2-6'!O86</f>
        <v>2.1100000000000008E-3</v>
      </c>
    </row>
    <row r="73" spans="1:4" x14ac:dyDescent="0.25">
      <c r="B73" s="88"/>
      <c r="C73" s="88"/>
      <c r="D73" s="136"/>
    </row>
    <row r="74" spans="1:4" x14ac:dyDescent="0.25">
      <c r="A74" s="77" t="s">
        <v>67</v>
      </c>
      <c r="C74" s="88"/>
      <c r="D74" s="136"/>
    </row>
    <row r="75" spans="1:4" x14ac:dyDescent="0.25">
      <c r="B75" s="88" t="s">
        <v>37</v>
      </c>
      <c r="C75" s="88" t="s">
        <v>38</v>
      </c>
      <c r="D75" s="134">
        <f>'Exh. JAP-6 Pages 2-6'!O91</f>
        <v>9.2699999999999818</v>
      </c>
    </row>
    <row r="76" spans="1:4" x14ac:dyDescent="0.25">
      <c r="B76" s="7" t="s">
        <v>52</v>
      </c>
      <c r="C76" s="7" t="s">
        <v>49</v>
      </c>
      <c r="D76" s="134">
        <f>'Exh. JAP-6 Pages 2-6'!O92</f>
        <v>8.0000000000000071E-2</v>
      </c>
    </row>
    <row r="77" spans="1:4" x14ac:dyDescent="0.25">
      <c r="B77" s="7"/>
      <c r="C77" s="7"/>
      <c r="D77" s="136"/>
    </row>
    <row r="78" spans="1:4" x14ac:dyDescent="0.25">
      <c r="B78" s="7" t="s">
        <v>53</v>
      </c>
      <c r="C78" s="7"/>
      <c r="D78" s="136"/>
    </row>
    <row r="79" spans="1:4" x14ac:dyDescent="0.25">
      <c r="B79" s="8" t="s">
        <v>68</v>
      </c>
      <c r="C79" s="8" t="s">
        <v>40</v>
      </c>
      <c r="D79" s="135">
        <f>'Exh. JAP-6 Pages 2-6'!O97</f>
        <v>1.2810000000000016E-2</v>
      </c>
    </row>
    <row r="80" spans="1:4" x14ac:dyDescent="0.25">
      <c r="B80" s="8" t="s">
        <v>69</v>
      </c>
      <c r="C80" s="8" t="s">
        <v>40</v>
      </c>
      <c r="D80" s="135">
        <f>'Exh. JAP-6 Pages 2-6'!O98</f>
        <v>9.079999999999977E-3</v>
      </c>
    </row>
    <row r="81" spans="1:4" x14ac:dyDescent="0.25">
      <c r="B81" s="8"/>
      <c r="C81" s="8"/>
      <c r="D81" s="136"/>
    </row>
    <row r="82" spans="1:4" x14ac:dyDescent="0.25">
      <c r="B82" s="7" t="s">
        <v>47</v>
      </c>
      <c r="C82" s="7" t="s">
        <v>40</v>
      </c>
      <c r="D82" s="135">
        <f>'Exh. JAP-6 Pages 2-6'!O93</f>
        <v>5.9999999999999984E-4</v>
      </c>
    </row>
    <row r="83" spans="1:4" x14ac:dyDescent="0.25">
      <c r="B83" s="88"/>
      <c r="C83" s="88"/>
      <c r="D83" s="136"/>
    </row>
    <row r="84" spans="1:4" x14ac:dyDescent="0.25">
      <c r="A84" s="77" t="s">
        <v>70</v>
      </c>
      <c r="C84" s="88"/>
      <c r="D84" s="136"/>
    </row>
    <row r="85" spans="1:4" x14ac:dyDescent="0.25">
      <c r="A85" s="7"/>
      <c r="B85" s="88" t="s">
        <v>37</v>
      </c>
      <c r="C85" s="88" t="s">
        <v>38</v>
      </c>
      <c r="D85" s="134">
        <f>'Exh. JAP-6 Pages 2-6'!O103</f>
        <v>29.480000000000018</v>
      </c>
    </row>
    <row r="86" spans="1:4" x14ac:dyDescent="0.25">
      <c r="A86" s="7"/>
      <c r="B86" s="7" t="s">
        <v>52</v>
      </c>
      <c r="C86" s="7" t="s">
        <v>49</v>
      </c>
      <c r="D86" s="134">
        <f>'Exh. JAP-6 Pages 2-6'!O104</f>
        <v>8.0000000000000071E-2</v>
      </c>
    </row>
    <row r="87" spans="1:4" x14ac:dyDescent="0.25">
      <c r="A87" s="7"/>
      <c r="B87" s="7"/>
      <c r="C87" s="7"/>
      <c r="D87" s="136"/>
    </row>
    <row r="88" spans="1:4" x14ac:dyDescent="0.25">
      <c r="A88" s="7"/>
      <c r="B88" s="7" t="s">
        <v>53</v>
      </c>
      <c r="C88" s="7"/>
      <c r="D88" s="136"/>
    </row>
    <row r="89" spans="1:4" x14ac:dyDescent="0.25">
      <c r="A89" s="7"/>
      <c r="B89" s="8" t="s">
        <v>68</v>
      </c>
      <c r="C89" s="8" t="s">
        <v>40</v>
      </c>
      <c r="D89" s="135">
        <f>'Exh. JAP-6 Pages 2-6'!O108</f>
        <v>1.2810000000000016E-2</v>
      </c>
    </row>
    <row r="90" spans="1:4" x14ac:dyDescent="0.25">
      <c r="A90" s="7"/>
      <c r="B90" s="8" t="s">
        <v>69</v>
      </c>
      <c r="C90" s="8" t="s">
        <v>40</v>
      </c>
      <c r="D90" s="135">
        <f>'Exh. JAP-6 Pages 2-6'!O109</f>
        <v>9.079999999999977E-3</v>
      </c>
    </row>
    <row r="91" spans="1:4" x14ac:dyDescent="0.25">
      <c r="A91" s="7"/>
      <c r="B91" s="88"/>
      <c r="C91" s="88"/>
      <c r="D91" s="136"/>
    </row>
    <row r="92" spans="1:4" x14ac:dyDescent="0.25">
      <c r="A92" s="77" t="s">
        <v>71</v>
      </c>
      <c r="C92" s="88"/>
      <c r="D92" s="136"/>
    </row>
    <row r="93" spans="1:4" x14ac:dyDescent="0.25">
      <c r="B93" s="88" t="s">
        <v>37</v>
      </c>
      <c r="C93" s="88" t="s">
        <v>38</v>
      </c>
      <c r="D93" s="134">
        <f>'Exh. JAP-6 Pages 2-6'!O114</f>
        <v>38.470000000000027</v>
      </c>
    </row>
    <row r="94" spans="1:4" x14ac:dyDescent="0.25">
      <c r="B94" s="7" t="s">
        <v>52</v>
      </c>
      <c r="C94" s="7" t="s">
        <v>49</v>
      </c>
      <c r="D94" s="134">
        <f>'Exh. JAP-6 Pages 2-6'!O115</f>
        <v>0.10000000000000009</v>
      </c>
    </row>
    <row r="96" spans="1:4" x14ac:dyDescent="0.25">
      <c r="B96" s="7" t="s">
        <v>53</v>
      </c>
      <c r="C96" s="7"/>
      <c r="D96" s="136"/>
    </row>
    <row r="97" spans="1:4" x14ac:dyDescent="0.25">
      <c r="B97" s="7" t="s">
        <v>62</v>
      </c>
      <c r="C97" s="7" t="s">
        <v>40</v>
      </c>
      <c r="D97" s="135">
        <f>'Exh. JAP-6 Pages 2-6'!O120</f>
        <v>9.5999999999999974E-3</v>
      </c>
    </row>
    <row r="98" spans="1:4" x14ac:dyDescent="0.25">
      <c r="B98" s="7" t="s">
        <v>63</v>
      </c>
      <c r="C98" s="7" t="s">
        <v>40</v>
      </c>
      <c r="D98" s="135">
        <f>'Exh. JAP-6 Pages 2-6'!O121</f>
        <v>5.7999999999999996E-3</v>
      </c>
    </row>
    <row r="99" spans="1:4" x14ac:dyDescent="0.25">
      <c r="B99" s="7" t="s">
        <v>66</v>
      </c>
      <c r="C99" s="7" t="s">
        <v>40</v>
      </c>
      <c r="D99" s="135">
        <f>'Exh. JAP-6 Pages 2-6'!O122</f>
        <v>3.6899999999999988E-3</v>
      </c>
    </row>
    <row r="100" spans="1:4" x14ac:dyDescent="0.25">
      <c r="B100" s="7" t="s">
        <v>72</v>
      </c>
      <c r="C100" s="7" t="s">
        <v>40</v>
      </c>
      <c r="D100" s="135">
        <f>'Exh. JAP-6 Pages 2-6'!O123</f>
        <v>2.370000000000004E-3</v>
      </c>
    </row>
    <row r="101" spans="1:4" x14ac:dyDescent="0.25">
      <c r="B101" s="7" t="s">
        <v>73</v>
      </c>
      <c r="C101" s="7" t="s">
        <v>40</v>
      </c>
      <c r="D101" s="135">
        <f>'Exh. JAP-6 Pages 2-6'!O124</f>
        <v>1.7000000000000001E-3</v>
      </c>
    </row>
    <row r="102" spans="1:4" x14ac:dyDescent="0.25">
      <c r="B102" s="7" t="s">
        <v>74</v>
      </c>
      <c r="C102" s="7" t="s">
        <v>40</v>
      </c>
      <c r="D102" s="135">
        <f>'Exh. JAP-6 Pages 2-6'!O125</f>
        <v>1.3100000000000021E-3</v>
      </c>
    </row>
    <row r="103" spans="1:4" x14ac:dyDescent="0.25">
      <c r="B103" s="7"/>
      <c r="C103" s="7"/>
      <c r="D103" s="136"/>
    </row>
    <row r="104" spans="1:4" x14ac:dyDescent="0.25">
      <c r="B104" s="7" t="s">
        <v>47</v>
      </c>
      <c r="C104" s="7" t="s">
        <v>40</v>
      </c>
      <c r="D104" s="135">
        <f>'Exh. JAP-6 Pages 2-6'!O116</f>
        <v>4.0999999999999977E-4</v>
      </c>
    </row>
    <row r="105" spans="1:4" x14ac:dyDescent="0.25">
      <c r="B105" s="88"/>
      <c r="C105" s="88"/>
      <c r="D105" s="136"/>
    </row>
    <row r="106" spans="1:4" x14ac:dyDescent="0.25">
      <c r="A106" s="77" t="s">
        <v>75</v>
      </c>
      <c r="C106" s="88"/>
      <c r="D106" s="136"/>
    </row>
    <row r="107" spans="1:4" x14ac:dyDescent="0.25">
      <c r="A107" s="7"/>
      <c r="B107" s="88" t="s">
        <v>37</v>
      </c>
      <c r="C107" s="88" t="s">
        <v>38</v>
      </c>
      <c r="D107" s="134">
        <f>'Exh. JAP-6 Pages 2-6'!O130</f>
        <v>61.559999999999945</v>
      </c>
    </row>
    <row r="108" spans="1:4" x14ac:dyDescent="0.25">
      <c r="A108" s="7"/>
      <c r="B108" s="7" t="s">
        <v>52</v>
      </c>
      <c r="C108" s="7" t="s">
        <v>49</v>
      </c>
      <c r="D108" s="134">
        <f>'Exh. JAP-6 Pages 2-6'!O131</f>
        <v>0.10000000000000009</v>
      </c>
    </row>
    <row r="109" spans="1:4" x14ac:dyDescent="0.25">
      <c r="A109" s="7"/>
      <c r="B109" s="8"/>
      <c r="C109" s="7"/>
      <c r="D109" s="136"/>
    </row>
    <row r="110" spans="1:4" x14ac:dyDescent="0.25">
      <c r="A110" s="7"/>
      <c r="B110" s="7" t="s">
        <v>53</v>
      </c>
      <c r="C110" s="7"/>
      <c r="D110" s="136"/>
    </row>
    <row r="111" spans="1:4" x14ac:dyDescent="0.25">
      <c r="A111" s="7"/>
      <c r="B111" s="7" t="s">
        <v>62</v>
      </c>
      <c r="C111" s="7" t="s">
        <v>40</v>
      </c>
      <c r="D111" s="135">
        <f>'Exh. JAP-6 Pages 2-6'!O135</f>
        <v>9.5999999999999974E-3</v>
      </c>
    </row>
    <row r="112" spans="1:4" x14ac:dyDescent="0.25">
      <c r="A112" s="7"/>
      <c r="B112" s="7" t="s">
        <v>63</v>
      </c>
      <c r="C112" s="7" t="s">
        <v>40</v>
      </c>
      <c r="D112" s="135">
        <f>'Exh. JAP-6 Pages 2-6'!O136</f>
        <v>5.7999999999999996E-3</v>
      </c>
    </row>
    <row r="113" spans="1:4" x14ac:dyDescent="0.25">
      <c r="A113" s="7"/>
      <c r="B113" s="7" t="s">
        <v>66</v>
      </c>
      <c r="C113" s="7" t="s">
        <v>40</v>
      </c>
      <c r="D113" s="135">
        <f>'Exh. JAP-6 Pages 2-6'!O137</f>
        <v>3.6899999999999988E-3</v>
      </c>
    </row>
    <row r="114" spans="1:4" x14ac:dyDescent="0.25">
      <c r="A114" s="7"/>
      <c r="B114" s="7" t="s">
        <v>72</v>
      </c>
      <c r="C114" s="7" t="s">
        <v>40</v>
      </c>
      <c r="D114" s="135">
        <f>'Exh. JAP-6 Pages 2-6'!O138</f>
        <v>2.370000000000004E-3</v>
      </c>
    </row>
    <row r="115" spans="1:4" x14ac:dyDescent="0.25">
      <c r="A115" s="7"/>
      <c r="B115" s="7" t="s">
        <v>73</v>
      </c>
      <c r="C115" s="7" t="s">
        <v>40</v>
      </c>
      <c r="D115" s="135">
        <f>'Exh. JAP-6 Pages 2-6'!O139</f>
        <v>1.7000000000000001E-3</v>
      </c>
    </row>
    <row r="116" spans="1:4" x14ac:dyDescent="0.25">
      <c r="A116" s="7"/>
      <c r="B116" s="7" t="s">
        <v>74</v>
      </c>
      <c r="C116" s="7" t="s">
        <v>40</v>
      </c>
      <c r="D116" s="135">
        <f>'Exh. JAP-6 Pages 2-6'!O140</f>
        <v>1.3100000000000021E-3</v>
      </c>
    </row>
    <row r="117" spans="1:4" x14ac:dyDescent="0.25">
      <c r="A117" s="7"/>
      <c r="B117" s="7"/>
      <c r="C117" s="88"/>
      <c r="D117" s="136"/>
    </row>
    <row r="118" spans="1:4" x14ac:dyDescent="0.25">
      <c r="A118" s="77" t="s">
        <v>76</v>
      </c>
      <c r="B118" s="7"/>
      <c r="C118" s="7"/>
      <c r="D118" s="136"/>
    </row>
    <row r="119" spans="1:4" x14ac:dyDescent="0.25">
      <c r="B119" s="2" t="s">
        <v>78</v>
      </c>
      <c r="C119" s="2" t="s">
        <v>77</v>
      </c>
      <c r="D119" s="134">
        <f>'Exh. JAP-6 Pages 2-6'!O145</f>
        <v>0.20999999999999996</v>
      </c>
    </row>
    <row r="120" spans="1:4" x14ac:dyDescent="0.25">
      <c r="B120" s="2" t="s">
        <v>80</v>
      </c>
      <c r="C120" s="2" t="s">
        <v>79</v>
      </c>
      <c r="D120" s="134">
        <f>'Exh. JAP-6 Pages 2-6'!O146</f>
        <v>0.34999999999999964</v>
      </c>
    </row>
    <row r="121" spans="1:4" x14ac:dyDescent="0.25">
      <c r="B121" s="2" t="s">
        <v>82</v>
      </c>
      <c r="C121" s="2" t="s">
        <v>81</v>
      </c>
      <c r="D121" s="134">
        <f>'Exh. JAP-6 Pages 2-6'!O147</f>
        <v>0.5</v>
      </c>
    </row>
    <row r="122" spans="1:4" x14ac:dyDescent="0.25">
      <c r="B122" s="2" t="s">
        <v>84</v>
      </c>
      <c r="C122" s="2" t="s">
        <v>83</v>
      </c>
      <c r="D122" s="134">
        <f>'Exh. JAP-6 Pages 2-6'!O148</f>
        <v>0.48999999999999844</v>
      </c>
    </row>
    <row r="123" spans="1:4" x14ac:dyDescent="0.25">
      <c r="B123" s="2" t="s">
        <v>86</v>
      </c>
      <c r="C123" s="2" t="s">
        <v>85</v>
      </c>
      <c r="D123" s="134">
        <f>'Exh. JAP-6 Pages 2-6'!O149</f>
        <v>0.16999999999999993</v>
      </c>
    </row>
    <row r="124" spans="1:4" x14ac:dyDescent="0.25">
      <c r="B124" s="2" t="s">
        <v>88</v>
      </c>
      <c r="C124" s="2" t="s">
        <v>87</v>
      </c>
      <c r="D124" s="134">
        <f>'Exh. JAP-6 Pages 2-6'!O150</f>
        <v>0.3100000000000005</v>
      </c>
    </row>
    <row r="125" spans="1:4" x14ac:dyDescent="0.25">
      <c r="B125" s="2"/>
      <c r="C125" s="7"/>
      <c r="D125" s="136"/>
    </row>
    <row r="126" spans="1:4" x14ac:dyDescent="0.25">
      <c r="A126" s="77" t="s">
        <v>89</v>
      </c>
      <c r="B126" s="2"/>
      <c r="C126" s="7"/>
      <c r="D126" s="136"/>
    </row>
    <row r="127" spans="1:4" x14ac:dyDescent="0.25">
      <c r="B127" s="2" t="s">
        <v>91</v>
      </c>
      <c r="C127" s="2" t="s">
        <v>90</v>
      </c>
      <c r="D127" s="134">
        <f>'Exh. JAP-6 Pages 2-6'!O154</f>
        <v>0.42999999999999972</v>
      </c>
    </row>
    <row r="128" spans="1:4" x14ac:dyDescent="0.25">
      <c r="B128" s="2" t="s">
        <v>93</v>
      </c>
      <c r="C128" s="2" t="s">
        <v>92</v>
      </c>
      <c r="D128" s="134">
        <f>'Exh. JAP-6 Pages 2-6'!O155</f>
        <v>0.57000000000000028</v>
      </c>
    </row>
    <row r="129" spans="1:4" x14ac:dyDescent="0.25">
      <c r="B129" s="2" t="s">
        <v>95</v>
      </c>
      <c r="C129" s="2" t="s">
        <v>94</v>
      </c>
      <c r="D129" s="134">
        <f>'Exh. JAP-6 Pages 2-6'!O156</f>
        <v>0.57000000000000028</v>
      </c>
    </row>
    <row r="130" spans="1:4" x14ac:dyDescent="0.25">
      <c r="B130" s="2" t="s">
        <v>97</v>
      </c>
      <c r="C130" s="2" t="s">
        <v>96</v>
      </c>
      <c r="D130" s="134">
        <f>'Exh. JAP-6 Pages 2-6'!O157</f>
        <v>0.90000000000000213</v>
      </c>
    </row>
    <row r="131" spans="1:4" x14ac:dyDescent="0.25">
      <c r="B131" s="2" t="s">
        <v>99</v>
      </c>
      <c r="C131" s="2" t="s">
        <v>98</v>
      </c>
      <c r="D131" s="134">
        <f>'Exh. JAP-6 Pages 2-6'!O158</f>
        <v>1.1799999999999997</v>
      </c>
    </row>
    <row r="132" spans="1:4" x14ac:dyDescent="0.25">
      <c r="B132" s="2" t="s">
        <v>101</v>
      </c>
      <c r="C132" s="2" t="s">
        <v>100</v>
      </c>
      <c r="D132" s="134">
        <f>'Exh. JAP-6 Pages 2-6'!O159</f>
        <v>1.5799999999999983</v>
      </c>
    </row>
    <row r="133" spans="1:4" x14ac:dyDescent="0.25">
      <c r="B133" s="2" t="s">
        <v>103</v>
      </c>
      <c r="C133" s="2" t="s">
        <v>102</v>
      </c>
      <c r="D133" s="134">
        <f>'Exh. JAP-6 Pages 2-6'!O160</f>
        <v>1.8299999999999983</v>
      </c>
    </row>
    <row r="134" spans="1:4" x14ac:dyDescent="0.25">
      <c r="A134" s="88"/>
      <c r="B134" s="7"/>
      <c r="C134" s="7"/>
      <c r="D134" s="136"/>
    </row>
    <row r="135" spans="1:4" x14ac:dyDescent="0.25">
      <c r="A135" s="77" t="s">
        <v>104</v>
      </c>
      <c r="B135" s="7"/>
      <c r="C135" s="7"/>
      <c r="D135" s="136"/>
    </row>
    <row r="136" spans="1:4" x14ac:dyDescent="0.25">
      <c r="B136" s="2" t="s">
        <v>106</v>
      </c>
      <c r="C136" s="2" t="s">
        <v>105</v>
      </c>
      <c r="D136" s="134">
        <f>'Exh. JAP-6 Pages 2-6'!O164</f>
        <v>0.30000000000000071</v>
      </c>
    </row>
    <row r="137" spans="1:4" x14ac:dyDescent="0.25">
      <c r="B137" s="2" t="s">
        <v>108</v>
      </c>
      <c r="C137" s="2" t="s">
        <v>107</v>
      </c>
      <c r="D137" s="134">
        <f>'Exh. JAP-6 Pages 2-6'!O165</f>
        <v>0.80000000000000071</v>
      </c>
    </row>
    <row r="138" spans="1:4" x14ac:dyDescent="0.25">
      <c r="B138" s="2" t="s">
        <v>110</v>
      </c>
      <c r="C138" s="2" t="s">
        <v>109</v>
      </c>
      <c r="D138" s="134">
        <f>'Exh. JAP-6 Pages 2-6'!O166</f>
        <v>1.0900000000000034</v>
      </c>
    </row>
    <row r="139" spans="1:4" x14ac:dyDescent="0.25">
      <c r="B139" s="2" t="s">
        <v>112</v>
      </c>
      <c r="C139" s="2" t="s">
        <v>111</v>
      </c>
      <c r="D139" s="134">
        <f>'Exh. JAP-6 Pages 2-6'!O167</f>
        <v>0.45000000000000107</v>
      </c>
    </row>
    <row r="140" spans="1:4" x14ac:dyDescent="0.25">
      <c r="B140" s="7"/>
      <c r="C140" s="7"/>
      <c r="D140" s="136"/>
    </row>
  </sheetData>
  <mergeCells count="4">
    <mergeCell ref="A1:D1"/>
    <mergeCell ref="A2:D2"/>
    <mergeCell ref="A3:D3"/>
    <mergeCell ref="A4:D4"/>
  </mergeCells>
  <printOptions horizontalCentered="1"/>
  <pageMargins left="0.7" right="0.7" top="0.75" bottom="0.75" header="0.3" footer="0.3"/>
  <pageSetup fitToHeight="4" orientation="portrait" blackAndWhite="1" horizontalDpi="300" verticalDpi="300" r:id="rId1"/>
  <headerFooter>
    <oddFooter>&amp;R&amp;A</oddFooter>
  </headerFooter>
  <rowBreaks count="4" manualBreakCount="4">
    <brk id="31" max="3" man="1"/>
    <brk id="64" max="3" man="1"/>
    <brk id="91" max="3" man="1"/>
    <brk id="12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4B91C5-308B-4600-B42A-7B15CA189A6C}"/>
</file>

<file path=customXml/itemProps2.xml><?xml version="1.0" encoding="utf-8"?>
<ds:datastoreItem xmlns:ds="http://schemas.openxmlformats.org/officeDocument/2006/customXml" ds:itemID="{3D5BB72A-27EA-4039-8A9C-A0B3C04309B9}"/>
</file>

<file path=customXml/itemProps3.xml><?xml version="1.0" encoding="utf-8"?>
<ds:datastoreItem xmlns:ds="http://schemas.openxmlformats.org/officeDocument/2006/customXml" ds:itemID="{7EF4B0D2-ED13-440F-ACC2-B646AD5FE53D}"/>
</file>

<file path=customXml/itemProps4.xml><?xml version="1.0" encoding="utf-8"?>
<ds:datastoreItem xmlns:ds="http://schemas.openxmlformats.org/officeDocument/2006/customXml" ds:itemID="{F6C63C7D-A48D-49AF-946D-7935F8076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Exh. JAP-6 Page 1</vt:lpstr>
      <vt:lpstr>Exh. JAP-6 Pages 2-6</vt:lpstr>
      <vt:lpstr>Exh. JAP-6 Pages 7-10</vt:lpstr>
      <vt:lpstr>'Exh. JAP-6 Page 1'!Print_Area</vt:lpstr>
      <vt:lpstr>'Exh. JAP-6 Pages 2-6'!Print_Area</vt:lpstr>
      <vt:lpstr>'Exh. JAP-6 Pages 7-10'!Print_Area</vt:lpstr>
      <vt:lpstr>'Exh. JAP-6 Pages 2-6'!Print_Titles</vt:lpstr>
      <vt:lpstr>'Exh. JAP-6 Pages 7-10'!Print_Titles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Steele, David S. (BEL)</cp:lastModifiedBy>
  <cp:lastPrinted>2018-10-22T22:57:15Z</cp:lastPrinted>
  <dcterms:created xsi:type="dcterms:W3CDTF">2012-12-21T22:26:24Z</dcterms:created>
  <dcterms:modified xsi:type="dcterms:W3CDTF">2018-10-31T20:00:06Z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