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activeX/activeX2.xml" ContentType="application/vnd.ms-office.activeX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activeX/activeX2.bin" ContentType="application/vnd.ms-office.activeX"/>
  <Override PartName="/xl/externalLinks/externalLink11.xml" ContentType="application/vnd.openxmlformats-officedocument.spreadsheetml.externalLink+xml"/>
  <Override PartName="/xl/activeX/activeX3.xml" ContentType="application/vnd.ms-office.activeX+xml"/>
  <Override PartName="/xl/activeX/activeX3.bin" ContentType="application/vnd.ms-office.activeX"/>
  <Override PartName="/xl/comments4.xml" ContentType="application/vnd.openxmlformats-officedocument.spreadsheetml.comments+xml"/>
  <Override PartName="/xl/activeX/activeX1.bin" ContentType="application/vnd.ms-office.activeX"/>
  <Override PartName="/xl/activeX/activeX1.xml" ContentType="application/vnd.ms-office.activeX+xml"/>
  <Override PartName="/xl/comments1.xml" ContentType="application/vnd.openxmlformats-officedocument.spreadsheetml.comments+xml"/>
  <Override PartName="/xl/externalLinks/externalLink1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5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14.xml" ContentType="application/vnd.openxmlformats-officedocument.spreadsheetml.externalLink+xml"/>
  <Override PartName="/xl/externalLinks/externalLink10.xml" ContentType="application/vnd.openxmlformats-officedocument.spreadsheetml.externalLink+xml"/>
  <Override PartName="/xl/activeX/activeX4.xml" ContentType="application/vnd.ms-office.activeX+xml"/>
  <Override PartName="/xl/activeX/activeX4.bin" ContentType="application/vnd.ms-office.activeX"/>
  <Override PartName="/xl/externalLinks/externalLink4.xml" ContentType="application/vnd.openxmlformats-officedocument.spreadsheetml.externalLink+xml"/>
  <Override PartName="/xl/comments8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7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5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10380" windowWidth="9630" windowHeight="2595" tabRatio="860" firstSheet="3" activeTab="8"/>
  </bookViews>
  <sheets>
    <sheet name="Income Statement" sheetId="6" r:id="rId1"/>
    <sheet name="Garbage Adj." sheetId="8" r:id="rId2"/>
    <sheet name="Recycling Adj." sheetId="9" r:id="rId3"/>
    <sheet name="Current Garbage LG 2018" sheetId="40" r:id="rId4"/>
    <sheet name="Garbage LG 2019 " sheetId="39" r:id="rId5"/>
    <sheet name="Current Recycling LG 2018" sheetId="41" r:id="rId6"/>
    <sheet name="Recycling LG 2019" sheetId="1" r:id="rId7"/>
    <sheet name="Current Price out" sheetId="5" r:id="rId8"/>
    <sheet name="Projected price out" sheetId="42" r:id="rId9"/>
    <sheet name="Assets" sheetId="23" r:id="rId10"/>
    <sheet name="Cando 2019" sheetId="38" r:id="rId11"/>
    <sheet name="Total Hrs" sheetId="44" r:id="rId12"/>
    <sheet name="Drive Hours Recap" sheetId="37" r:id="rId13"/>
    <sheet name="Tonnage" sheetId="43" r:id="rId14"/>
    <sheet name="Instructions" sheetId="3" r:id="rId15"/>
    <sheet name="Jan DH" sheetId="25" r:id="rId16"/>
    <sheet name="Feb DH" sheetId="26" r:id="rId17"/>
    <sheet name="MarDH" sheetId="27" r:id="rId18"/>
    <sheet name="AprDH" sheetId="28" r:id="rId19"/>
    <sheet name="MayDH" sheetId="29" r:id="rId20"/>
    <sheet name="JuneDH" sheetId="30" r:id="rId21"/>
    <sheet name="JulyDH" sheetId="31" r:id="rId22"/>
    <sheet name="AugDH" sheetId="32" r:id="rId23"/>
    <sheet name="SeptDH" sheetId="33" r:id="rId24"/>
    <sheet name="OctDH" sheetId="34" r:id="rId25"/>
    <sheet name="NovDH" sheetId="35" r:id="rId26"/>
    <sheet name="DecDH" sheetId="36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 localSheetId="3">[2]Hidden!#REF!</definedName>
    <definedName name="_ACT1" localSheetId="5">[2]Hidden!#REF!</definedName>
    <definedName name="_ACT1" localSheetId="4">[2]Hidden!#REF!</definedName>
    <definedName name="_ACT1" localSheetId="8">[2]Hidden!#REF!</definedName>
    <definedName name="_ACT1" localSheetId="13">[2]Hidden!#REF!</definedName>
    <definedName name="_ACT1">[2]Hidden!#REF!</definedName>
    <definedName name="_ACT1a" localSheetId="5">[2]Hidden!#REF!</definedName>
    <definedName name="_ACT1a" localSheetId="8">[2]Hidden!#REF!</definedName>
    <definedName name="_ACT1a" localSheetId="13">[2]Hidden!#REF!</definedName>
    <definedName name="_ACT1a">[2]Hidden!#REF!</definedName>
    <definedName name="_ACT1b" localSheetId="5">[2]Hidden!#REF!</definedName>
    <definedName name="_ACT1b" localSheetId="8">[2]Hidden!#REF!</definedName>
    <definedName name="_ACT1b" localSheetId="13">[2]Hidden!#REF!</definedName>
    <definedName name="_ACT1b">[2]Hidden!#REF!</definedName>
    <definedName name="_ACT2" localSheetId="3">[2]Hidden!#REF!</definedName>
    <definedName name="_ACT2" localSheetId="5">[2]Hidden!#REF!</definedName>
    <definedName name="_ACT2" localSheetId="4">[2]Hidden!#REF!</definedName>
    <definedName name="_ACT2" localSheetId="8">[2]Hidden!#REF!</definedName>
    <definedName name="_ACT2" localSheetId="13">[2]Hidden!#REF!</definedName>
    <definedName name="_ACT2">[2]Hidden!#REF!</definedName>
    <definedName name="_ACT3" localSheetId="3">[2]Hidden!#REF!</definedName>
    <definedName name="_ACT3" localSheetId="5">[2]Hidden!#REF!</definedName>
    <definedName name="_ACT3" localSheetId="4">[2]Hidden!#REF!</definedName>
    <definedName name="_ACT3" localSheetId="8">[2]Hidden!#REF!</definedName>
    <definedName name="_ACT3" localSheetId="13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 localSheetId="3">#REF!</definedName>
    <definedName name="a" localSheetId="5">#REF!</definedName>
    <definedName name="a" localSheetId="4">#REF!</definedName>
    <definedName name="a" localSheetId="8">#REF!</definedName>
    <definedName name="a" localSheetId="13">#REF!</definedName>
    <definedName name="a">#REF!</definedName>
    <definedName name="ACCT" localSheetId="3">[2]Hidden!#REF!</definedName>
    <definedName name="ACCT" localSheetId="5">[2]Hidden!#REF!</definedName>
    <definedName name="ACCT" localSheetId="4">[2]Hidden!#REF!</definedName>
    <definedName name="ACCT" localSheetId="8">[2]Hidden!#REF!</definedName>
    <definedName name="ACCT" localSheetId="13">[2]Hidden!#REF!</definedName>
    <definedName name="ACCT">[2]Hidden!#REF!</definedName>
    <definedName name="ACCT.ConsolSum">[1]Hidden!$Q$11</definedName>
    <definedName name="ACT_CUR" localSheetId="3">[2]Hidden!#REF!</definedName>
    <definedName name="ACT_CUR" localSheetId="5">[2]Hidden!#REF!</definedName>
    <definedName name="ACT_CUR" localSheetId="4">[2]Hidden!#REF!</definedName>
    <definedName name="ACT_CUR" localSheetId="8">[2]Hidden!#REF!</definedName>
    <definedName name="ACT_CUR" localSheetId="13">[2]Hidden!#REF!</definedName>
    <definedName name="ACT_CUR">[2]Hidden!#REF!</definedName>
    <definedName name="ACT_YTD" localSheetId="3">[2]Hidden!#REF!</definedName>
    <definedName name="ACT_YTD" localSheetId="5">[2]Hidden!#REF!</definedName>
    <definedName name="ACT_YTD" localSheetId="4">[2]Hidden!#REF!</definedName>
    <definedName name="ACT_YTD" localSheetId="8">[2]Hidden!#REF!</definedName>
    <definedName name="ACT_YTD" localSheetId="13">[2]Hidden!#REF!</definedName>
    <definedName name="ACT_YTD">[2]Hidden!#REF!</definedName>
    <definedName name="AmountCount" localSheetId="3">#REF!</definedName>
    <definedName name="AmountCount" localSheetId="5">#REF!</definedName>
    <definedName name="AmountCount" localSheetId="4">#REF!</definedName>
    <definedName name="AmountCount" localSheetId="8">#REF!</definedName>
    <definedName name="AmountCount" localSheetId="13">#REF!</definedName>
    <definedName name="AmountCount">#REF!</definedName>
    <definedName name="AmountTotal" localSheetId="3">#REF!</definedName>
    <definedName name="AmountTotal" localSheetId="5">#REF!</definedName>
    <definedName name="AmountTotal" localSheetId="4">#REF!</definedName>
    <definedName name="AmountTotal" localSheetId="8">#REF!</definedName>
    <definedName name="AmountTotal" localSheetId="13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3">#REF!</definedName>
    <definedName name="BREMAIR_COST_of_SERVICE_STUDY" localSheetId="5">#REF!</definedName>
    <definedName name="BREMAIR_COST_of_SERVICE_STUDY" localSheetId="4">#REF!</definedName>
    <definedName name="BREMAIR_COST_of_SERVICE_STUDY" localSheetId="8">#REF!</definedName>
    <definedName name="BREMAIR_COST_of_SERVICE_STUDY" localSheetId="13">#REF!</definedName>
    <definedName name="BREMAIR_COST_of_SERVICE_STUDY">#REF!</definedName>
    <definedName name="BUD_CUR" localSheetId="3">[2]Hidden!#REF!</definedName>
    <definedName name="BUD_CUR" localSheetId="5">[2]Hidden!#REF!</definedName>
    <definedName name="BUD_CUR" localSheetId="4">[2]Hidden!#REF!</definedName>
    <definedName name="BUD_CUR" localSheetId="8">[2]Hidden!#REF!</definedName>
    <definedName name="BUD_CUR" localSheetId="13">[2]Hidden!#REF!</definedName>
    <definedName name="BUD_CUR">[2]Hidden!#REF!</definedName>
    <definedName name="BUD_YTD" localSheetId="3">[2]Hidden!#REF!</definedName>
    <definedName name="BUD_YTD" localSheetId="5">[2]Hidden!#REF!</definedName>
    <definedName name="BUD_YTD" localSheetId="4">[2]Hidden!#REF!</definedName>
    <definedName name="BUD_YTD" localSheetId="8">[2]Hidden!#REF!</definedName>
    <definedName name="BUD_YTD" localSheetId="13">[2]Hidden!#REF!</definedName>
    <definedName name="BUD_YTD">[2]Hidden!#REF!</definedName>
    <definedName name="CheckTotals" localSheetId="3">#REF!</definedName>
    <definedName name="CheckTotals" localSheetId="5">#REF!</definedName>
    <definedName name="CheckTotals" localSheetId="4">#REF!</definedName>
    <definedName name="CheckTotals" localSheetId="8">#REF!</definedName>
    <definedName name="CheckTotals" localSheetId="13">#REF!</definedName>
    <definedName name="CheckTotals">#REF!</definedName>
    <definedName name="colgroup">[1]Orientation!$G$6</definedName>
    <definedName name="colsegment">[1]Orientation!$F$6</definedName>
    <definedName name="CRCTable" localSheetId="3">#REF!</definedName>
    <definedName name="CRCTable" localSheetId="5">#REF!</definedName>
    <definedName name="CRCTable" localSheetId="4">#REF!</definedName>
    <definedName name="CRCTable" localSheetId="8">#REF!</definedName>
    <definedName name="CRCTable" localSheetId="13">#REF!</definedName>
    <definedName name="CRCTable">#REF!</definedName>
    <definedName name="CRCTableOLD" localSheetId="3">#REF!</definedName>
    <definedName name="CRCTableOLD" localSheetId="5">#REF!</definedName>
    <definedName name="CRCTableOLD" localSheetId="4">#REF!</definedName>
    <definedName name="CRCTableOLD" localSheetId="8">#REF!</definedName>
    <definedName name="CRCTableOLD" localSheetId="13">#REF!</definedName>
    <definedName name="CRCTableOLD">#REF!</definedName>
    <definedName name="CriteriaType">[4]ControlPanel!$Z$2:$Z$5</definedName>
    <definedName name="Cutomers" localSheetId="3">#REF!</definedName>
    <definedName name="Cutomers" localSheetId="5">#REF!</definedName>
    <definedName name="Cutomers" localSheetId="4">#REF!</definedName>
    <definedName name="Cutomers" localSheetId="8">#REF!</definedName>
    <definedName name="Cutomers" localSheetId="13">#REF!</definedName>
    <definedName name="Cutomers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8">#REF!</definedName>
    <definedName name="_xlnm.Database" localSheetId="13">#REF!</definedName>
    <definedName name="_xlnm.Database">#REF!</definedName>
    <definedName name="Database1" localSheetId="3">#REF!</definedName>
    <definedName name="Database1" localSheetId="5">#REF!</definedName>
    <definedName name="Database1" localSheetId="4">#REF!</definedName>
    <definedName name="Database1" localSheetId="8">#REF!</definedName>
    <definedName name="Database1" localSheetId="13">#REF!</definedName>
    <definedName name="Database1">#REF!</definedName>
    <definedName name="Debt_Rate" localSheetId="3">'Current Garbage LG 2018'!$K$27</definedName>
    <definedName name="Debt_Rate" localSheetId="5">'Current Recycling LG 2018'!$K$27</definedName>
    <definedName name="Debt_Rate" localSheetId="4">'Garbage LG 2019 '!$K$27</definedName>
    <definedName name="Debt_Rate" localSheetId="6">'Recycling LG 2019'!$K$27</definedName>
    <definedName name="debtP" localSheetId="3">'Current Garbage LG 2018'!$I$27</definedName>
    <definedName name="debtP" localSheetId="5">'Current Recycling LG 2018'!$I$27</definedName>
    <definedName name="debtP" localSheetId="4">'Garbage LG 2019 '!$I$27</definedName>
    <definedName name="debtP" localSheetId="6">'Recycling LG 2019'!$I$27</definedName>
    <definedName name="DEPT" localSheetId="3">[2]Hidden!#REF!</definedName>
    <definedName name="DEPT" localSheetId="5">[2]Hidden!#REF!</definedName>
    <definedName name="DEPT" localSheetId="4">[2]Hidden!#REF!</definedName>
    <definedName name="DEPT" localSheetId="8">[2]Hidden!#REF!</definedName>
    <definedName name="DEPT" localSheetId="13">[2]Hidden!#REF!</definedName>
    <definedName name="DEPT">[2]Hidden!#REF!</definedName>
    <definedName name="District" localSheetId="3">'[5]Vashon BS'!#REF!</definedName>
    <definedName name="District" localSheetId="5">'[5]Vashon BS'!#REF!</definedName>
    <definedName name="District" localSheetId="4">'[5]Vashon BS'!#REF!</definedName>
    <definedName name="District" localSheetId="8">'[5]Vashon BS'!#REF!</definedName>
    <definedName name="District" localSheetId="13">'[5]Vashon BS'!#REF!</definedName>
    <definedName name="District">'[5]Vashon BS'!#REF!</definedName>
    <definedName name="DistrictNum" localSheetId="3">#REF!</definedName>
    <definedName name="DistrictNum" localSheetId="5">#REF!</definedName>
    <definedName name="DistrictNum" localSheetId="4">#REF!</definedName>
    <definedName name="DistrictNum" localSheetId="8">#REF!</definedName>
    <definedName name="DistrictNum" localSheetId="13">#REF!</definedName>
    <definedName name="DistrictNum">#REF!</definedName>
    <definedName name="drlFilter">[1]Settings!$D$27</definedName>
    <definedName name="End" localSheetId="3">#REF!</definedName>
    <definedName name="End" localSheetId="5">#REF!</definedName>
    <definedName name="End" localSheetId="4">#REF!</definedName>
    <definedName name="End" localSheetId="8">#REF!</definedName>
    <definedName name="End" localSheetId="13">#REF!</definedName>
    <definedName name="End">#REF!</definedName>
    <definedName name="Equity_percent" localSheetId="3">'Current Garbage LG 2018'!$S$58</definedName>
    <definedName name="Equity_percent" localSheetId="5">'Current Recycling LG 2018'!$S$58</definedName>
    <definedName name="Equity_percent" localSheetId="4">'Garbage LG 2019 '!$S$58</definedName>
    <definedName name="Equity_percent" localSheetId="6">'Recycling LG 2019'!$S$58</definedName>
    <definedName name="equityP" localSheetId="3">'Current Garbage LG 2018'!$I$26</definedName>
    <definedName name="equityP" localSheetId="5">'Current Recycling LG 2018'!$I$26</definedName>
    <definedName name="equityP" localSheetId="4">'Garbage LG 2019 '!$I$26</definedName>
    <definedName name="equityP" localSheetId="6">'Recycling LG 2019'!$I$26</definedName>
    <definedName name="ExcludeIC" localSheetId="3">'[5]Vashon BS'!#REF!</definedName>
    <definedName name="ExcludeIC" localSheetId="5">'[5]Vashon BS'!#REF!</definedName>
    <definedName name="ExcludeIC" localSheetId="4">'[5]Vashon BS'!#REF!</definedName>
    <definedName name="ExcludeIC" localSheetId="8">'[5]Vashon BS'!#REF!</definedName>
    <definedName name="ExcludeIC" localSheetId="13">'[5]Vashon BS'!#REF!</definedName>
    <definedName name="ExcludeIC">'[5]Vashon BS'!#REF!</definedName>
    <definedName name="expenses" localSheetId="3">'Current Garbage LG 2018'!$I$8</definedName>
    <definedName name="expenses" localSheetId="5">'Current Recycling LG 2018'!$I$8</definedName>
    <definedName name="expenses" localSheetId="4">'Garbage LG 2019 '!$I$8</definedName>
    <definedName name="expenses" localSheetId="6">'Recycling LG 2019'!$I$8</definedName>
    <definedName name="FBTable" localSheetId="3">#REF!</definedName>
    <definedName name="FBTable" localSheetId="5">#REF!</definedName>
    <definedName name="FBTable" localSheetId="4">#REF!</definedName>
    <definedName name="FBTable" localSheetId="8">#REF!</definedName>
    <definedName name="FBTable" localSheetId="13">#REF!</definedName>
    <definedName name="FBTable">#REF!</definedName>
    <definedName name="FBTableOld" localSheetId="3">#REF!</definedName>
    <definedName name="FBTableOld" localSheetId="5">#REF!</definedName>
    <definedName name="FBTableOld" localSheetId="4">#REF!</definedName>
    <definedName name="FBTableOld" localSheetId="8">#REF!</definedName>
    <definedName name="FBTableOld" localSheetId="13">#REF!</definedName>
    <definedName name="FBTableOld">#REF!</definedName>
    <definedName name="FICA">'[6]Tax &amp; Ben'!$H$6</definedName>
    <definedName name="filter">[1]Settings!$B$14:$H$25</definedName>
    <definedName name="GLMappingStart" localSheetId="3">#REF!</definedName>
    <definedName name="GLMappingStart" localSheetId="5">#REF!</definedName>
    <definedName name="GLMappingStart" localSheetId="4">#REF!</definedName>
    <definedName name="GLMappingStart" localSheetId="8">#REF!</definedName>
    <definedName name="GLMappingStart" localSheetId="13">#REF!</definedName>
    <definedName name="GLMappingStart">#REF!</definedName>
    <definedName name="IncomeStmnt" localSheetId="3">#REF!</definedName>
    <definedName name="IncomeStmnt" localSheetId="5">#REF!</definedName>
    <definedName name="IncomeStmnt" localSheetId="4">#REF!</definedName>
    <definedName name="IncomeStmnt" localSheetId="8">#REF!</definedName>
    <definedName name="IncomeStmnt" localSheetId="13">#REF!</definedName>
    <definedName name="IncomeStmnt">#REF!</definedName>
    <definedName name="INPUT" localSheetId="3">'Current Garbage LG 2018'!#REF!</definedName>
    <definedName name="INPUT" localSheetId="7">#REF!</definedName>
    <definedName name="INPUT" localSheetId="5">'Current Recycling LG 2018'!#REF!</definedName>
    <definedName name="INPUT" localSheetId="4">'Garbage LG 2019 '!#REF!</definedName>
    <definedName name="INPUT" localSheetId="14">#REF!</definedName>
    <definedName name="INPUT" localSheetId="8">#REF!</definedName>
    <definedName name="INPUT" localSheetId="6">'Recycling LG 2019'!#REF!</definedName>
    <definedName name="INPUT" localSheetId="13">#REF!</definedName>
    <definedName name="INPUT">#REF!</definedName>
    <definedName name="INPUTc" localSheetId="3">#REF!</definedName>
    <definedName name="INPUTc" localSheetId="5">#REF!</definedName>
    <definedName name="INPUTc" localSheetId="4">#REF!</definedName>
    <definedName name="INPUTc" localSheetId="8">#REF!</definedName>
    <definedName name="INPUTc" localSheetId="13">#REF!</definedName>
    <definedName name="INPUTc">#REF!</definedName>
    <definedName name="Insurance" localSheetId="3">#REF!</definedName>
    <definedName name="Insurance" localSheetId="5">#REF!</definedName>
    <definedName name="Insurance" localSheetId="4">#REF!</definedName>
    <definedName name="Insurance" localSheetId="8">#REF!</definedName>
    <definedName name="Insurance" localSheetId="13">#REF!</definedName>
    <definedName name="Insurance">#REF!</definedName>
    <definedName name="Investment" localSheetId="3">'Current Garbage LG 2018'!$J$28</definedName>
    <definedName name="Investment" localSheetId="5">'Current Recycling LG 2018'!$J$28</definedName>
    <definedName name="Investment" localSheetId="4">'Garbage LG 2019 '!$J$28</definedName>
    <definedName name="Investment" localSheetId="6">'Recycling LG 2019'!$J$28</definedName>
    <definedName name="JEDetail" localSheetId="3">#REF!</definedName>
    <definedName name="JEDetail" localSheetId="5">#REF!</definedName>
    <definedName name="JEDetail" localSheetId="4">#REF!</definedName>
    <definedName name="JEDetail" localSheetId="8">#REF!</definedName>
    <definedName name="JEDetail" localSheetId="13">#REF!</definedName>
    <definedName name="JEDetail">#REF!</definedName>
    <definedName name="JEType" localSheetId="3">#REF!</definedName>
    <definedName name="JEType" localSheetId="5">#REF!</definedName>
    <definedName name="JEType" localSheetId="4">#REF!</definedName>
    <definedName name="JEType" localSheetId="8">#REF!</definedName>
    <definedName name="JEType" localSheetId="13">#REF!</definedName>
    <definedName name="JEType">#REF!</definedName>
    <definedName name="lblBillAreaStatus" localSheetId="3">#REF!</definedName>
    <definedName name="lblBillAreaStatus" localSheetId="5">#REF!</definedName>
    <definedName name="lblBillAreaStatus" localSheetId="4">#REF!</definedName>
    <definedName name="lblBillAreaStatus" localSheetId="8">#REF!</definedName>
    <definedName name="lblBillAreaStatus" localSheetId="13">#REF!</definedName>
    <definedName name="lblBillAreaStatus">#REF!</definedName>
    <definedName name="lblBillCycleStatus" localSheetId="3">#REF!</definedName>
    <definedName name="lblBillCycleStatus" localSheetId="5">#REF!</definedName>
    <definedName name="lblBillCycleStatus" localSheetId="4">#REF!</definedName>
    <definedName name="lblBillCycleStatus" localSheetId="8">#REF!</definedName>
    <definedName name="lblBillCycleStatus" localSheetId="13">#REF!</definedName>
    <definedName name="lblBillCycleStatus">#REF!</definedName>
    <definedName name="lblCategoryStatus" localSheetId="3">#REF!</definedName>
    <definedName name="lblCategoryStatus" localSheetId="5">#REF!</definedName>
    <definedName name="lblCategoryStatus" localSheetId="4">#REF!</definedName>
    <definedName name="lblCategoryStatus" localSheetId="8">#REF!</definedName>
    <definedName name="lblCategoryStatus" localSheetId="13">#REF!</definedName>
    <definedName name="lblCategoryStatus">#REF!</definedName>
    <definedName name="lblCompanyStatus" localSheetId="3">#REF!</definedName>
    <definedName name="lblCompanyStatus" localSheetId="5">#REF!</definedName>
    <definedName name="lblCompanyStatus" localSheetId="4">#REF!</definedName>
    <definedName name="lblCompanyStatus" localSheetId="8">#REF!</definedName>
    <definedName name="lblCompanyStatus" localSheetId="13">#REF!</definedName>
    <definedName name="lblCompanyStatus">#REF!</definedName>
    <definedName name="lblDatabaseStatus" localSheetId="3">#REF!</definedName>
    <definedName name="lblDatabaseStatus" localSheetId="5">#REF!</definedName>
    <definedName name="lblDatabaseStatus" localSheetId="4">#REF!</definedName>
    <definedName name="lblDatabaseStatus" localSheetId="8">#REF!</definedName>
    <definedName name="lblDatabaseStatus" localSheetId="13">#REF!</definedName>
    <definedName name="lblDatabaseStatus">#REF!</definedName>
    <definedName name="lblPullStatus" localSheetId="3">#REF!</definedName>
    <definedName name="lblPullStatus" localSheetId="5">#REF!</definedName>
    <definedName name="lblPullStatus" localSheetId="4">#REF!</definedName>
    <definedName name="lblPullStatus" localSheetId="8">#REF!</definedName>
    <definedName name="lblPullStatus" localSheetId="13">#REF!</definedName>
    <definedName name="lblPullStatus">#REF!</definedName>
    <definedName name="lllllllllllllllllllll" localSheetId="3">#REF!</definedName>
    <definedName name="lllllllllllllllllllll" localSheetId="5">#REF!</definedName>
    <definedName name="lllllllllllllllllllll" localSheetId="4">#REF!</definedName>
    <definedName name="lllllllllllllllllllll" localSheetId="8">#REF!</definedName>
    <definedName name="lllllllllllllllllllll" localSheetId="13">#REF!</definedName>
    <definedName name="lllllllllllllllllllll">#REF!</definedName>
    <definedName name="MainDataEnd" localSheetId="3">#REF!</definedName>
    <definedName name="MainDataEnd" localSheetId="5">#REF!</definedName>
    <definedName name="MainDataEnd" localSheetId="4">#REF!</definedName>
    <definedName name="MainDataEnd" localSheetId="8">#REF!</definedName>
    <definedName name="MainDataEnd" localSheetId="13">#REF!</definedName>
    <definedName name="MainDataEnd">#REF!</definedName>
    <definedName name="MainDataStart" localSheetId="3">#REF!</definedName>
    <definedName name="MainDataStart" localSheetId="5">#REF!</definedName>
    <definedName name="MainDataStart" localSheetId="4">#REF!</definedName>
    <definedName name="MainDataStart" localSheetId="8">#REF!</definedName>
    <definedName name="MainDataStart" localSheetId="13">#REF!</definedName>
    <definedName name="MainDataStart">#REF!</definedName>
    <definedName name="MapKeyStart" localSheetId="3">#REF!</definedName>
    <definedName name="MapKeyStart" localSheetId="5">#REF!</definedName>
    <definedName name="MapKeyStart" localSheetId="4">#REF!</definedName>
    <definedName name="MapKeyStart" localSheetId="8">#REF!</definedName>
    <definedName name="MapKeyStart" localSheetId="13">#REF!</definedName>
    <definedName name="MapKeyStart">#REF!</definedName>
    <definedName name="master_def" localSheetId="3">#REF!</definedName>
    <definedName name="master_def" localSheetId="5">#REF!</definedName>
    <definedName name="master_def" localSheetId="4">#REF!</definedName>
    <definedName name="master_def" localSheetId="8">#REF!</definedName>
    <definedName name="master_def" localSheetId="13">#REF!</definedName>
    <definedName name="master_def">#REF!</definedName>
    <definedName name="MemoAttachment" localSheetId="3">#REF!</definedName>
    <definedName name="MemoAttachment" localSheetId="5">#REF!</definedName>
    <definedName name="MemoAttachment" localSheetId="4">#REF!</definedName>
    <definedName name="MemoAttachment" localSheetId="8">#REF!</definedName>
    <definedName name="MemoAttachment" localSheetId="13">#REF!</definedName>
    <definedName name="MemoAttachment">#REF!</definedName>
    <definedName name="MetaSet">[1]Orientation!$C$22</definedName>
    <definedName name="NewOnlyOrg">#N/A</definedName>
    <definedName name="NOTES" localSheetId="3">#REF!</definedName>
    <definedName name="NOTES" localSheetId="5">#REF!</definedName>
    <definedName name="NOTES" localSheetId="4">#REF!</definedName>
    <definedName name="NOTES" localSheetId="8">#REF!</definedName>
    <definedName name="NOTES" localSheetId="13">#REF!</definedName>
    <definedName name="NOTES">#REF!</definedName>
    <definedName name="NR" localSheetId="3">#REF!</definedName>
    <definedName name="NR" localSheetId="5">#REF!</definedName>
    <definedName name="NR" localSheetId="4">#REF!</definedName>
    <definedName name="NR" localSheetId="8">#REF!</definedName>
    <definedName name="NR" localSheetId="13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 localSheetId="3">#REF!</definedName>
    <definedName name="p" localSheetId="5">#REF!</definedName>
    <definedName name="p" localSheetId="4">#REF!</definedName>
    <definedName name="p" localSheetId="8">#REF!</definedName>
    <definedName name="p" localSheetId="13">#REF!</definedName>
    <definedName name="p">#REF!</definedName>
    <definedName name="PAGE_1" localSheetId="3">#REF!</definedName>
    <definedName name="PAGE_1" localSheetId="5">#REF!</definedName>
    <definedName name="PAGE_1" localSheetId="4">#REF!</definedName>
    <definedName name="PAGE_1" localSheetId="8">#REF!</definedName>
    <definedName name="PAGE_1" localSheetId="13">#REF!</definedName>
    <definedName name="PAGE_1">#REF!</definedName>
    <definedName name="pBatchID" localSheetId="3">#REF!</definedName>
    <definedName name="pBatchID" localSheetId="5">#REF!</definedName>
    <definedName name="pBatchID" localSheetId="4">#REF!</definedName>
    <definedName name="pBatchID" localSheetId="8">#REF!</definedName>
    <definedName name="pBatchID" localSheetId="13">#REF!</definedName>
    <definedName name="pBatchID">#REF!</definedName>
    <definedName name="pBillArea" localSheetId="3">#REF!</definedName>
    <definedName name="pBillArea" localSheetId="5">#REF!</definedName>
    <definedName name="pBillArea" localSheetId="4">#REF!</definedName>
    <definedName name="pBillArea" localSheetId="8">#REF!</definedName>
    <definedName name="pBillArea" localSheetId="13">#REF!</definedName>
    <definedName name="pBillArea">#REF!</definedName>
    <definedName name="pBillCycle" localSheetId="3">#REF!</definedName>
    <definedName name="pBillCycle" localSheetId="5">#REF!</definedName>
    <definedName name="pBillCycle" localSheetId="4">#REF!</definedName>
    <definedName name="pBillCycle" localSheetId="8">#REF!</definedName>
    <definedName name="pBillCycle" localSheetId="13">#REF!</definedName>
    <definedName name="pBillCycle">#REF!</definedName>
    <definedName name="pCategory" localSheetId="3">#REF!</definedName>
    <definedName name="pCategory" localSheetId="5">#REF!</definedName>
    <definedName name="pCategory" localSheetId="4">#REF!</definedName>
    <definedName name="pCategory" localSheetId="8">#REF!</definedName>
    <definedName name="pCategory" localSheetId="13">#REF!</definedName>
    <definedName name="pCategory">#REF!</definedName>
    <definedName name="pCompany" localSheetId="3">#REF!</definedName>
    <definedName name="pCompany" localSheetId="5">#REF!</definedName>
    <definedName name="pCompany" localSheetId="4">#REF!</definedName>
    <definedName name="pCompany" localSheetId="8">#REF!</definedName>
    <definedName name="pCompany" localSheetId="13">#REF!</definedName>
    <definedName name="pCompany">#REF!</definedName>
    <definedName name="pCustomerNumber" localSheetId="3">#REF!</definedName>
    <definedName name="pCustomerNumber" localSheetId="5">#REF!</definedName>
    <definedName name="pCustomerNumber" localSheetId="4">#REF!</definedName>
    <definedName name="pCustomerNumber" localSheetId="8">#REF!</definedName>
    <definedName name="pCustomerNumber" localSheetId="13">#REF!</definedName>
    <definedName name="pCustomerNumber">#REF!</definedName>
    <definedName name="pDatabase" localSheetId="3">#REF!</definedName>
    <definedName name="pDatabase" localSheetId="5">#REF!</definedName>
    <definedName name="pDatabase" localSheetId="4">#REF!</definedName>
    <definedName name="pDatabase" localSheetId="8">#REF!</definedName>
    <definedName name="pDatabase" localSheetId="13">#REF!</definedName>
    <definedName name="pDatabase">#REF!</definedName>
    <definedName name="pEndPostDate" localSheetId="3">#REF!</definedName>
    <definedName name="pEndPostDate" localSheetId="5">#REF!</definedName>
    <definedName name="pEndPostDate" localSheetId="4">#REF!</definedName>
    <definedName name="pEndPostDate" localSheetId="8">#REF!</definedName>
    <definedName name="pEndPostDate" localSheetId="13">#REF!</definedName>
    <definedName name="pEndPostDate">#REF!</definedName>
    <definedName name="Period" localSheetId="3">#REF!</definedName>
    <definedName name="Period" localSheetId="5">#REF!</definedName>
    <definedName name="Period" localSheetId="4">#REF!</definedName>
    <definedName name="Period" localSheetId="8">#REF!</definedName>
    <definedName name="Period" localSheetId="13">#REF!</definedName>
    <definedName name="Period">#REF!</definedName>
    <definedName name="Pfd_weighted" localSheetId="3">'Current Garbage LG 2018'!$U$57</definedName>
    <definedName name="Pfd_weighted" localSheetId="5">'Current Recycling LG 2018'!$U$57</definedName>
    <definedName name="Pfd_weighted" localSheetId="4">'Garbage LG 2019 '!$U$57</definedName>
    <definedName name="Pfd_weighted" localSheetId="6">'Recycling LG 2019'!$U$57</definedName>
    <definedName name="pMonth" localSheetId="3">#REF!</definedName>
    <definedName name="pMonth" localSheetId="5">#REF!</definedName>
    <definedName name="pMonth" localSheetId="4">#REF!</definedName>
    <definedName name="pMonth" localSheetId="8">#REF!</definedName>
    <definedName name="pMonth" localSheetId="13">#REF!</definedName>
    <definedName name="pMonth">#REF!</definedName>
    <definedName name="pOnlyShowLastTranx" localSheetId="3">#REF!</definedName>
    <definedName name="pOnlyShowLastTranx" localSheetId="5">#REF!</definedName>
    <definedName name="pOnlyShowLastTranx" localSheetId="4">#REF!</definedName>
    <definedName name="pOnlyShowLastTranx" localSheetId="8">#REF!</definedName>
    <definedName name="pOnlyShowLastTranx" localSheetId="13">#REF!</definedName>
    <definedName name="pOnlyShowLastTranx">#REF!</definedName>
    <definedName name="primtbl">[1]Orientation!$C$23</definedName>
    <definedName name="_xlnm.Print_Area" localSheetId="10">'Cando 2019'!$A$1:$N$93</definedName>
    <definedName name="_xlnm.Print_Area" localSheetId="3">'Current Garbage LG 2018'!$F$2:$N$49</definedName>
    <definedName name="_xlnm.Print_Area" localSheetId="5">'Current Recycling LG 2018'!$F$2:$N$49</definedName>
    <definedName name="_xlnm.Print_Area" localSheetId="4">'Garbage LG 2019 '!$F$2:$N$49</definedName>
    <definedName name="_xlnm.Print_Area" localSheetId="0">'Income Statement'!$B$1:$AU$54</definedName>
    <definedName name="_xlnm.Print_Area" localSheetId="8">#REF!</definedName>
    <definedName name="_xlnm.Print_Area" localSheetId="6">'Recycling LG 2019'!$F$2:$N$49</definedName>
    <definedName name="_xlnm.Print_Area" localSheetId="13">#REF!</definedName>
    <definedName name="_xlnm.Print_Area">#REF!</definedName>
    <definedName name="Print_Area_MI" localSheetId="3">#REF!</definedName>
    <definedName name="Print_Area_MI" localSheetId="7">#REF!</definedName>
    <definedName name="Print_Area_MI" localSheetId="5">#REF!</definedName>
    <definedName name="Print_Area_MI" localSheetId="4">#REF!</definedName>
    <definedName name="Print_Area_MI" localSheetId="14">#REF!</definedName>
    <definedName name="Print_Area_MI" localSheetId="8">#REF!</definedName>
    <definedName name="Print_Area_MI" localSheetId="13">#REF!</definedName>
    <definedName name="Print_Area_MI">#REF!</definedName>
    <definedName name="Print_Area_MIc" localSheetId="3">#REF!</definedName>
    <definedName name="Print_Area_MIc" localSheetId="5">#REF!</definedName>
    <definedName name="Print_Area_MIc" localSheetId="4">#REF!</definedName>
    <definedName name="Print_Area_MIc" localSheetId="8">#REF!</definedName>
    <definedName name="Print_Area_MIc" localSheetId="13">#REF!</definedName>
    <definedName name="Print_Area_MIc">#REF!</definedName>
    <definedName name="Print_Area1" localSheetId="3">#REF!</definedName>
    <definedName name="Print_Area1" localSheetId="5">#REF!</definedName>
    <definedName name="Print_Area1" localSheetId="4">#REF!</definedName>
    <definedName name="Print_Area1" localSheetId="8">#REF!</definedName>
    <definedName name="Print_Area1" localSheetId="13">#REF!</definedName>
    <definedName name="Print_Area1">#REF!</definedName>
    <definedName name="Print_Area2" localSheetId="3">#REF!</definedName>
    <definedName name="Print_Area2" localSheetId="5">#REF!</definedName>
    <definedName name="Print_Area2" localSheetId="4">#REF!</definedName>
    <definedName name="Print_Area2" localSheetId="8">#REF!</definedName>
    <definedName name="Print_Area2" localSheetId="13">#REF!</definedName>
    <definedName name="Print_Area2">#REF!</definedName>
    <definedName name="Print_Area3" localSheetId="3">#REF!</definedName>
    <definedName name="Print_Area3" localSheetId="5">#REF!</definedName>
    <definedName name="Print_Area3" localSheetId="4">#REF!</definedName>
    <definedName name="Print_Area3" localSheetId="8">#REF!</definedName>
    <definedName name="Print_Area3" localSheetId="13">#REF!</definedName>
    <definedName name="Print_Area3">#REF!</definedName>
    <definedName name="Print_Area5" localSheetId="3">#REF!</definedName>
    <definedName name="Print_Area5" localSheetId="5">#REF!</definedName>
    <definedName name="Print_Area5" localSheetId="4">#REF!</definedName>
    <definedName name="Print_Area5" localSheetId="8">#REF!</definedName>
    <definedName name="Print_Area5" localSheetId="13">#REF!</definedName>
    <definedName name="Print_Area5">#REF!</definedName>
    <definedName name="_xlnm.Print_Titles" localSheetId="10">'Cando 2019'!$3:$3</definedName>
    <definedName name="_xlnm.Print_Titles" localSheetId="0">'Income Statement'!$A:$A</definedName>
    <definedName name="Print1" localSheetId="3">#REF!</definedName>
    <definedName name="Print1" localSheetId="5">#REF!</definedName>
    <definedName name="Print1" localSheetId="4">#REF!</definedName>
    <definedName name="Print1" localSheetId="8">#REF!</definedName>
    <definedName name="Print1" localSheetId="13">#REF!</definedName>
    <definedName name="Print1">#REF!</definedName>
    <definedName name="Print2" localSheetId="3">#REF!</definedName>
    <definedName name="Print2" localSheetId="5">#REF!</definedName>
    <definedName name="Print2" localSheetId="4">#REF!</definedName>
    <definedName name="Print2" localSheetId="8">#REF!</definedName>
    <definedName name="Print2" localSheetId="13">#REF!</definedName>
    <definedName name="Print2">#REF!</definedName>
    <definedName name="Print5" localSheetId="3">#REF!</definedName>
    <definedName name="Print5" localSheetId="5">#REF!</definedName>
    <definedName name="Print5" localSheetId="4">#REF!</definedName>
    <definedName name="Print5" localSheetId="8">#REF!</definedName>
    <definedName name="Print5" localSheetId="13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 localSheetId="3">#REF!</definedName>
    <definedName name="pServer" localSheetId="5">#REF!</definedName>
    <definedName name="pServer" localSheetId="4">#REF!</definedName>
    <definedName name="pServer" localSheetId="8">#REF!</definedName>
    <definedName name="pServer" localSheetId="13">#REF!</definedName>
    <definedName name="pServer">#REF!</definedName>
    <definedName name="pServiceCode" localSheetId="3">#REF!</definedName>
    <definedName name="pServiceCode" localSheetId="5">#REF!</definedName>
    <definedName name="pServiceCode" localSheetId="4">#REF!</definedName>
    <definedName name="pServiceCode" localSheetId="8">#REF!</definedName>
    <definedName name="pServiceCode" localSheetId="13">#REF!</definedName>
    <definedName name="pServiceCode">#REF!</definedName>
    <definedName name="pShowAllUnposted" localSheetId="3">#REF!</definedName>
    <definedName name="pShowAllUnposted" localSheetId="5">#REF!</definedName>
    <definedName name="pShowAllUnposted" localSheetId="4">#REF!</definedName>
    <definedName name="pShowAllUnposted" localSheetId="8">#REF!</definedName>
    <definedName name="pShowAllUnposted" localSheetId="13">#REF!</definedName>
    <definedName name="pShowAllUnposted">#REF!</definedName>
    <definedName name="pShowCustomerDetail" localSheetId="3">#REF!</definedName>
    <definedName name="pShowCustomerDetail" localSheetId="5">#REF!</definedName>
    <definedName name="pShowCustomerDetail" localSheetId="4">#REF!</definedName>
    <definedName name="pShowCustomerDetail" localSheetId="8">#REF!</definedName>
    <definedName name="pShowCustomerDetail" localSheetId="13">#REF!</definedName>
    <definedName name="pShowCustomerDetail">#REF!</definedName>
    <definedName name="pSortOption" localSheetId="3">#REF!</definedName>
    <definedName name="pSortOption" localSheetId="5">#REF!</definedName>
    <definedName name="pSortOption" localSheetId="4">#REF!</definedName>
    <definedName name="pSortOption" localSheetId="8">#REF!</definedName>
    <definedName name="pSortOption" localSheetId="13">#REF!</definedName>
    <definedName name="pSortOption">#REF!</definedName>
    <definedName name="pStartPostDate" localSheetId="3">#REF!</definedName>
    <definedName name="pStartPostDate" localSheetId="5">#REF!</definedName>
    <definedName name="pStartPostDate" localSheetId="4">#REF!</definedName>
    <definedName name="pStartPostDate" localSheetId="8">#REF!</definedName>
    <definedName name="pStartPostDate" localSheetId="13">#REF!</definedName>
    <definedName name="pStartPostDate">#REF!</definedName>
    <definedName name="pTransType" localSheetId="3">#REF!</definedName>
    <definedName name="pTransType" localSheetId="5">#REF!</definedName>
    <definedName name="pTransType" localSheetId="4">#REF!</definedName>
    <definedName name="pTransType" localSheetId="8">#REF!</definedName>
    <definedName name="pTransType" localSheetId="13">#REF!</definedName>
    <definedName name="pTransType">#REF!</definedName>
    <definedName name="RCW_81.04.080">#N/A</definedName>
    <definedName name="RecyDisposal">#N/A</definedName>
    <definedName name="regDebt_weighted" localSheetId="3">'Current Garbage LG 2018'!$U$56</definedName>
    <definedName name="regDebt_weighted" localSheetId="5">'Current Recycling LG 2018'!$U$56</definedName>
    <definedName name="regDebt_weighted" localSheetId="4">'Garbage LG 2019 '!$U$56</definedName>
    <definedName name="regDebt_weighted" localSheetId="6">'Recycling LG 2019'!$U$56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 localSheetId="3">#REF!</definedName>
    <definedName name="RetainedEarnings" localSheetId="5">#REF!</definedName>
    <definedName name="RetainedEarnings" localSheetId="4">#REF!</definedName>
    <definedName name="RetainedEarnings" localSheetId="8">#REF!</definedName>
    <definedName name="RetainedEarnings" localSheetId="13">#REF!</definedName>
    <definedName name="RetainedEarnings">#REF!</definedName>
    <definedName name="RevCust" localSheetId="3">[8]RevenuesCust!#REF!</definedName>
    <definedName name="RevCust" localSheetId="5">[8]RevenuesCust!#REF!</definedName>
    <definedName name="RevCust" localSheetId="4">[8]RevenuesCust!#REF!</definedName>
    <definedName name="RevCust" localSheetId="8">[8]RevenuesCust!#REF!</definedName>
    <definedName name="RevCust" localSheetId="13">[8]RevenuesCust!#REF!</definedName>
    <definedName name="RevCust">[8]RevenuesCust!#REF!</definedName>
    <definedName name="Revenue" localSheetId="3">'Current Garbage LG 2018'!$I$7</definedName>
    <definedName name="Revenue" localSheetId="5">'Current Recycling LG 2018'!$I$7</definedName>
    <definedName name="Revenue" localSheetId="4">'Garbage LG 2019 '!$I$7</definedName>
    <definedName name="Revenue" localSheetId="6">'Recycling LG 2019'!$I$7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lope" localSheetId="3">'Current Garbage LG 2018'!$Y$58</definedName>
    <definedName name="slope" localSheetId="5">'Current Recycling LG 2018'!$Y$58</definedName>
    <definedName name="slope" localSheetId="4">'Garbage LG 2019 '!$Y$58</definedName>
    <definedName name="slope" localSheetId="14">'[9]LG Nonpublic 2018 V5.0'!$X$58</definedName>
    <definedName name="slope">'Recycling LG 2019'!$Y$58</definedName>
    <definedName name="sortcol" localSheetId="3">#REF!</definedName>
    <definedName name="sortcol" localSheetId="5">#REF!</definedName>
    <definedName name="sortcol" localSheetId="4">#REF!</definedName>
    <definedName name="sortcol" localSheetId="8">#REF!</definedName>
    <definedName name="sortcol" localSheetId="13">#REF!</definedName>
    <definedName name="sortcol">#REF!</definedName>
    <definedName name="sSRCDate" localSheetId="3">'[10]Feb''12 FAR Data'!#REF!</definedName>
    <definedName name="sSRCDate" localSheetId="5">'[10]Feb''12 FAR Data'!#REF!</definedName>
    <definedName name="sSRCDate" localSheetId="4">'[10]Feb''12 FAR Data'!#REF!</definedName>
    <definedName name="sSRCDate" localSheetId="8">'[10]Feb''12 FAR Data'!#REF!</definedName>
    <definedName name="sSRCDate" localSheetId="13">'[10]Feb''12 FAR Data'!#REF!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axrate" localSheetId="3">'Current Garbage LG 2018'!$J$38</definedName>
    <definedName name="taxrate" localSheetId="5">'Current Recycling LG 2018'!$J$38</definedName>
    <definedName name="taxrate" localSheetId="4">'Garbage LG 2019 '!$J$38</definedName>
    <definedName name="taxrate" localSheetId="6">'Recycling LG 2019'!$J$38</definedName>
    <definedName name="TemplateEnd" localSheetId="3">#REF!</definedName>
    <definedName name="TemplateEnd" localSheetId="5">#REF!</definedName>
    <definedName name="TemplateEnd" localSheetId="4">#REF!</definedName>
    <definedName name="TemplateEnd" localSheetId="8">#REF!</definedName>
    <definedName name="TemplateEnd" localSheetId="13">#REF!</definedName>
    <definedName name="TemplateEnd">#REF!</definedName>
    <definedName name="TemplateStart" localSheetId="3">#REF!</definedName>
    <definedName name="TemplateStart" localSheetId="5">#REF!</definedName>
    <definedName name="TemplateStart" localSheetId="4">#REF!</definedName>
    <definedName name="TemplateStart" localSheetId="8">#REF!</definedName>
    <definedName name="TemplateStart" localSheetId="13">#REF!</definedName>
    <definedName name="TemplateStart">#REF!</definedName>
    <definedName name="TheTable" localSheetId="3">#REF!</definedName>
    <definedName name="TheTable" localSheetId="5">#REF!</definedName>
    <definedName name="TheTable" localSheetId="4">#REF!</definedName>
    <definedName name="TheTable" localSheetId="8">#REF!</definedName>
    <definedName name="TheTable" localSheetId="13">#REF!</definedName>
    <definedName name="TheTable">#REF!</definedName>
    <definedName name="TheTableOLD" localSheetId="3">#REF!</definedName>
    <definedName name="TheTableOLD" localSheetId="5">#REF!</definedName>
    <definedName name="TheTableOLD" localSheetId="4">#REF!</definedName>
    <definedName name="TheTableOLD" localSheetId="8">#REF!</definedName>
    <definedName name="TheTableOLD" localSheetId="13">#REF!</definedName>
    <definedName name="TheTableOLD">#REF!</definedName>
    <definedName name="timeseries">[1]Orientation!$B$6:$C$13</definedName>
    <definedName name="Transactions" localSheetId="3">#REF!</definedName>
    <definedName name="Transactions" localSheetId="5">#REF!</definedName>
    <definedName name="Transactions" localSheetId="4">#REF!</definedName>
    <definedName name="Transactions" localSheetId="8">#REF!</definedName>
    <definedName name="Transactions" localSheetId="13">#REF!</definedName>
    <definedName name="Transactions">#REF!</definedName>
    <definedName name="WTable" localSheetId="3">#REF!</definedName>
    <definedName name="WTable" localSheetId="5">#REF!</definedName>
    <definedName name="WTable" localSheetId="4">#REF!</definedName>
    <definedName name="WTable" localSheetId="8">#REF!</definedName>
    <definedName name="WTable" localSheetId="13">#REF!</definedName>
    <definedName name="WTable">#REF!</definedName>
    <definedName name="WTableOld" localSheetId="3">#REF!</definedName>
    <definedName name="WTableOld" localSheetId="5">#REF!</definedName>
    <definedName name="WTableOld" localSheetId="4">#REF!</definedName>
    <definedName name="WTableOld" localSheetId="8">#REF!</definedName>
    <definedName name="WTableOld" localSheetId="13">#REF!</definedName>
    <definedName name="WTableOld">#REF!</definedName>
    <definedName name="ww" localSheetId="3">#REF!</definedName>
    <definedName name="ww" localSheetId="5">#REF!</definedName>
    <definedName name="ww" localSheetId="4">#REF!</definedName>
    <definedName name="ww" localSheetId="8">#REF!</definedName>
    <definedName name="ww" localSheetId="13">#REF!</definedName>
    <definedName name="ww">#REF!</definedName>
    <definedName name="xperiod">[1]Orientation!$G$15</definedName>
    <definedName name="xtabin" localSheetId="3">[2]Hidden!#REF!</definedName>
    <definedName name="xtabin" localSheetId="5">[2]Hidden!#REF!</definedName>
    <definedName name="xtabin" localSheetId="4">[2]Hidden!#REF!</definedName>
    <definedName name="xtabin" localSheetId="8">[2]Hidden!#REF!</definedName>
    <definedName name="xtabin" localSheetId="13">[2]Hidden!#REF!</definedName>
    <definedName name="xtabin">[2]Hidden!#REF!</definedName>
    <definedName name="xx" localSheetId="3">#REF!</definedName>
    <definedName name="xx" localSheetId="5">#REF!</definedName>
    <definedName name="xx" localSheetId="4">#REF!</definedName>
    <definedName name="xx" localSheetId="8">#REF!</definedName>
    <definedName name="xx" localSheetId="13">#REF!</definedName>
    <definedName name="xx">#REF!</definedName>
    <definedName name="xxx" localSheetId="3">#REF!</definedName>
    <definedName name="xxx" localSheetId="5">#REF!</definedName>
    <definedName name="xxx" localSheetId="4">#REF!</definedName>
    <definedName name="xxx" localSheetId="8">#REF!</definedName>
    <definedName name="xxx" localSheetId="13">#REF!</definedName>
    <definedName name="xxx">#REF!</definedName>
    <definedName name="xxxx" localSheetId="3">#REF!</definedName>
    <definedName name="xxxx" localSheetId="5">#REF!</definedName>
    <definedName name="xxxx" localSheetId="4">#REF!</definedName>
    <definedName name="xxxx" localSheetId="8">#REF!</definedName>
    <definedName name="xxxx" localSheetId="13">#REF!</definedName>
    <definedName name="xxxx">#REF!</definedName>
    <definedName name="y_inter1" localSheetId="3">'Current Garbage LG 2018'!$X$55</definedName>
    <definedName name="y_inter1" localSheetId="5">'Current Recycling LG 2018'!$X$55</definedName>
    <definedName name="y_inter1" localSheetId="4">'Garbage LG 2019 '!$X$55</definedName>
    <definedName name="y_inter1" localSheetId="14">'[9]LG Nonpublic 2018 V5.0'!$W$55</definedName>
    <definedName name="y_inter1">'Recycling LG 2019'!$X$55</definedName>
    <definedName name="y_inter2" localSheetId="3">'Current Garbage LG 2018'!$X$56</definedName>
    <definedName name="y_inter2" localSheetId="5">'Current Recycling LG 2018'!$X$56</definedName>
    <definedName name="y_inter2" localSheetId="4">'Garbage LG 2019 '!$X$56</definedName>
    <definedName name="y_inter2" localSheetId="14">'[9]LG Nonpublic 2018 V5.0'!$W$56</definedName>
    <definedName name="y_inter2">'Recycling LG 2019'!$X$56</definedName>
    <definedName name="y_inter3" localSheetId="3">'Current Garbage LG 2018'!$Z$55</definedName>
    <definedName name="y_inter3" localSheetId="5">'Current Recycling LG 2018'!$Z$55</definedName>
    <definedName name="y_inter3" localSheetId="4">'Garbage LG 2019 '!$Z$55</definedName>
    <definedName name="y_inter3" localSheetId="14">'[9]LG Nonpublic 2018 V5.0'!$Y$55</definedName>
    <definedName name="y_inter3">'Recycling LG 2019'!$Z$55</definedName>
    <definedName name="y_inter4" localSheetId="3">'Current Garbage LG 2018'!$Z$56</definedName>
    <definedName name="y_inter4" localSheetId="5">'Current Recycling LG 2018'!$Z$56</definedName>
    <definedName name="y_inter4" localSheetId="4">'Garbage LG 2019 '!$Z$56</definedName>
    <definedName name="y_inter4" localSheetId="14">'[9]LG Nonpublic 2018 V5.0'!$Y$56</definedName>
    <definedName name="y_inter4">'Recycling LG 2019'!$Z$56</definedName>
    <definedName name="YearMonth" localSheetId="3">'[5]Vashon BS'!#REF!</definedName>
    <definedName name="YearMonth" localSheetId="5">'[5]Vashon BS'!#REF!</definedName>
    <definedName name="YearMonth" localSheetId="4">'[5]Vashon BS'!#REF!</definedName>
    <definedName name="YearMonth" localSheetId="8">'[5]Vashon BS'!#REF!</definedName>
    <definedName name="YearMonth" localSheetId="13">'[5]Vashon BS'!#REF!</definedName>
    <definedName name="YearMonth">'[5]Vashon BS'!#REF!</definedName>
    <definedName name="YWMedWasteDisp">#N/A</definedName>
  </definedNames>
  <calcPr calcId="125725"/>
</workbook>
</file>

<file path=xl/calcChain.xml><?xml version="1.0" encoding="utf-8"?>
<calcChain xmlns="http://schemas.openxmlformats.org/spreadsheetml/2006/main">
  <c r="M8" i="8"/>
  <c r="J16"/>
  <c r="K16"/>
  <c r="J16" i="9" l="1"/>
  <c r="M14" i="8"/>
  <c r="AA50" i="6"/>
  <c r="Y11"/>
  <c r="Y12"/>
  <c r="AA12" s="1"/>
  <c r="Y13"/>
  <c r="AA13" s="1"/>
  <c r="AA14"/>
  <c r="AA15"/>
  <c r="AA16"/>
  <c r="X50"/>
  <c r="Q15" i="8"/>
  <c r="Q18"/>
  <c r="P9"/>
  <c r="P10"/>
  <c r="P14"/>
  <c r="Q14" s="1"/>
  <c r="P15"/>
  <c r="P17"/>
  <c r="Q17" s="1"/>
  <c r="P18"/>
  <c r="P19"/>
  <c r="P22"/>
  <c r="Q22" s="1"/>
  <c r="P23"/>
  <c r="Q23" s="1"/>
  <c r="P42"/>
  <c r="Q42" s="1"/>
  <c r="P66"/>
  <c r="Q66" s="1"/>
  <c r="P7"/>
  <c r="O8"/>
  <c r="O14"/>
  <c r="O15"/>
  <c r="O17"/>
  <c r="O18"/>
  <c r="O22"/>
  <c r="O23"/>
  <c r="O27"/>
  <c r="O28"/>
  <c r="O42"/>
  <c r="O47"/>
  <c r="O49"/>
  <c r="O51"/>
  <c r="O54"/>
  <c r="O55"/>
  <c r="O56"/>
  <c r="O57"/>
  <c r="O58"/>
  <c r="O59"/>
  <c r="O62"/>
  <c r="O63"/>
  <c r="O64"/>
  <c r="O65"/>
  <c r="O66"/>
  <c r="D26" i="9" l="1"/>
  <c r="D26" i="8"/>
  <c r="Q26" i="6"/>
  <c r="E26" i="8" s="1"/>
  <c r="E74" i="42"/>
  <c r="N9" i="43"/>
  <c r="N10"/>
  <c r="M10"/>
  <c r="M8"/>
  <c r="L10"/>
  <c r="E26" i="9" l="1"/>
  <c r="L8" i="43" l="1"/>
  <c r="L11" l="1"/>
  <c r="N8"/>
  <c r="M66" i="9" l="1"/>
  <c r="M9"/>
  <c r="M10"/>
  <c r="M14"/>
  <c r="M15"/>
  <c r="M7"/>
  <c r="M66" i="8"/>
  <c r="K19" i="9"/>
  <c r="M19" s="1"/>
  <c r="G32" i="44"/>
  <c r="F32"/>
  <c r="D32"/>
  <c r="C32"/>
  <c r="I32" s="1"/>
  <c r="G30"/>
  <c r="F30"/>
  <c r="D30"/>
  <c r="C30"/>
  <c r="I30" s="1"/>
  <c r="G28"/>
  <c r="F28"/>
  <c r="D28"/>
  <c r="C28"/>
  <c r="I28" s="1"/>
  <c r="G26"/>
  <c r="F26"/>
  <c r="D26"/>
  <c r="C26"/>
  <c r="I26" s="1"/>
  <c r="G24"/>
  <c r="F24"/>
  <c r="D24"/>
  <c r="C24"/>
  <c r="I24" s="1"/>
  <c r="G22"/>
  <c r="F22"/>
  <c r="D22"/>
  <c r="C22"/>
  <c r="I22" s="1"/>
  <c r="G20"/>
  <c r="F20"/>
  <c r="D20"/>
  <c r="C20"/>
  <c r="I20" s="1"/>
  <c r="G18"/>
  <c r="F18"/>
  <c r="D18"/>
  <c r="C18"/>
  <c r="I18" s="1"/>
  <c r="G16"/>
  <c r="F16"/>
  <c r="D16"/>
  <c r="C16"/>
  <c r="I16" s="1"/>
  <c r="G14"/>
  <c r="F14"/>
  <c r="D14"/>
  <c r="C14"/>
  <c r="I14" s="1"/>
  <c r="G12"/>
  <c r="F12"/>
  <c r="D12"/>
  <c r="C12"/>
  <c r="I12" s="1"/>
  <c r="G10"/>
  <c r="F10"/>
  <c r="D10"/>
  <c r="C10"/>
  <c r="I10" s="1"/>
  <c r="G8"/>
  <c r="F8"/>
  <c r="D8"/>
  <c r="C8"/>
  <c r="I8" s="1"/>
  <c r="G6"/>
  <c r="F6"/>
  <c r="D6"/>
  <c r="C6"/>
  <c r="I6" s="1"/>
  <c r="G4"/>
  <c r="G34" s="1"/>
  <c r="F4"/>
  <c r="F34" s="1"/>
  <c r="D4"/>
  <c r="C4"/>
  <c r="C34" s="1"/>
  <c r="L66" i="9"/>
  <c r="I68"/>
  <c r="I65"/>
  <c r="I64"/>
  <c r="I62"/>
  <c r="I59"/>
  <c r="I58"/>
  <c r="I57"/>
  <c r="I56"/>
  <c r="I55"/>
  <c r="I54"/>
  <c r="I53"/>
  <c r="I50"/>
  <c r="I49"/>
  <c r="I46"/>
  <c r="I44"/>
  <c r="I43"/>
  <c r="I40"/>
  <c r="I38"/>
  <c r="I35"/>
  <c r="I34"/>
  <c r="I33"/>
  <c r="I31"/>
  <c r="I30"/>
  <c r="I28"/>
  <c r="I26"/>
  <c r="I24"/>
  <c r="I22"/>
  <c r="I21"/>
  <c r="I20"/>
  <c r="K20" s="1"/>
  <c r="L20" s="1"/>
  <c r="I19"/>
  <c r="I28" i="8"/>
  <c r="I65"/>
  <c r="I40"/>
  <c r="I20"/>
  <c r="I22"/>
  <c r="I62"/>
  <c r="I43"/>
  <c r="I34"/>
  <c r="I38"/>
  <c r="I68"/>
  <c r="I64"/>
  <c r="I59"/>
  <c r="I58"/>
  <c r="I57"/>
  <c r="I56"/>
  <c r="I55"/>
  <c r="I54"/>
  <c r="I53"/>
  <c r="I50"/>
  <c r="I49"/>
  <c r="I46"/>
  <c r="I44"/>
  <c r="I35"/>
  <c r="I33"/>
  <c r="I31"/>
  <c r="I30"/>
  <c r="I26"/>
  <c r="I24"/>
  <c r="I21"/>
  <c r="I67" i="9" l="1"/>
  <c r="I69" s="1"/>
  <c r="D34" i="44"/>
  <c r="M20" i="9"/>
  <c r="C36" i="44"/>
  <c r="C40"/>
  <c r="D40"/>
  <c r="F36"/>
  <c r="C41"/>
  <c r="D36"/>
  <c r="G36"/>
  <c r="D41"/>
  <c r="I4"/>
  <c r="I34" s="1"/>
  <c r="I19" i="8"/>
  <c r="M15"/>
  <c r="H39" i="42"/>
  <c r="E14"/>
  <c r="E20"/>
  <c r="X51" i="6"/>
  <c r="X12"/>
  <c r="X13"/>
  <c r="X14"/>
  <c r="X15"/>
  <c r="X16"/>
  <c r="Z13"/>
  <c r="L66" i="8"/>
  <c r="T50" i="6"/>
  <c r="V50" s="1"/>
  <c r="F29" i="23"/>
  <c r="I67" i="8" l="1"/>
  <c r="I69" s="1"/>
  <c r="K19"/>
  <c r="D42" i="44"/>
  <c r="C42"/>
  <c r="E40"/>
  <c r="E41"/>
  <c r="I36"/>
  <c r="O18" i="23"/>
  <c r="I38" i="5"/>
  <c r="E42" i="44" l="1"/>
  <c r="C43" s="1"/>
  <c r="D43"/>
  <c r="I37" i="5"/>
  <c r="J62" i="8" l="1"/>
  <c r="K62" s="1"/>
  <c r="M62" s="1"/>
  <c r="J58"/>
  <c r="K58" s="1"/>
  <c r="M58" s="1"/>
  <c r="J54"/>
  <c r="K54" s="1"/>
  <c r="M54" s="1"/>
  <c r="J50"/>
  <c r="K50" s="1"/>
  <c r="M50" s="1"/>
  <c r="J46"/>
  <c r="K46" s="1"/>
  <c r="M46" s="1"/>
  <c r="J42"/>
  <c r="K42" s="1"/>
  <c r="M42" s="1"/>
  <c r="J38"/>
  <c r="K38" s="1"/>
  <c r="J34"/>
  <c r="K34" s="1"/>
  <c r="M34" s="1"/>
  <c r="J30"/>
  <c r="K30" s="1"/>
  <c r="M30" s="1"/>
  <c r="J26"/>
  <c r="K26" s="1"/>
  <c r="M26" s="1"/>
  <c r="J22"/>
  <c r="K22" s="1"/>
  <c r="M22" s="1"/>
  <c r="J65"/>
  <c r="K65" s="1"/>
  <c r="M65" s="1"/>
  <c r="J61"/>
  <c r="K61" s="1"/>
  <c r="M61" s="1"/>
  <c r="J57"/>
  <c r="K57" s="1"/>
  <c r="M57" s="1"/>
  <c r="J53"/>
  <c r="K53" s="1"/>
  <c r="M53" s="1"/>
  <c r="J49"/>
  <c r="K49" s="1"/>
  <c r="M49" s="1"/>
  <c r="J45"/>
  <c r="K45" s="1"/>
  <c r="M45" s="1"/>
  <c r="J41"/>
  <c r="K41" s="1"/>
  <c r="M41" s="1"/>
  <c r="J37"/>
  <c r="K37" s="1"/>
  <c r="M37" s="1"/>
  <c r="J33"/>
  <c r="K33" s="1"/>
  <c r="M33" s="1"/>
  <c r="J29"/>
  <c r="K29" s="1"/>
  <c r="M29" s="1"/>
  <c r="J25"/>
  <c r="K25" s="1"/>
  <c r="M25" s="1"/>
  <c r="J21"/>
  <c r="K21" s="1"/>
  <c r="M21" s="1"/>
  <c r="J64"/>
  <c r="K64" s="1"/>
  <c r="J60"/>
  <c r="K60" s="1"/>
  <c r="M60" s="1"/>
  <c r="J56"/>
  <c r="K56" s="1"/>
  <c r="M56" s="1"/>
  <c r="J52"/>
  <c r="K52" s="1"/>
  <c r="M52" s="1"/>
  <c r="J48"/>
  <c r="K48" s="1"/>
  <c r="M48" s="1"/>
  <c r="J44"/>
  <c r="K44" s="1"/>
  <c r="J40"/>
  <c r="K40" s="1"/>
  <c r="J36"/>
  <c r="K36" s="1"/>
  <c r="M36" s="1"/>
  <c r="J32"/>
  <c r="K32" s="1"/>
  <c r="M32" s="1"/>
  <c r="J28"/>
  <c r="K28" s="1"/>
  <c r="M28" s="1"/>
  <c r="J24"/>
  <c r="K24" s="1"/>
  <c r="M24" s="1"/>
  <c r="J20"/>
  <c r="K20" s="1"/>
  <c r="J63"/>
  <c r="K63" s="1"/>
  <c r="M63" s="1"/>
  <c r="J59"/>
  <c r="K59" s="1"/>
  <c r="J55"/>
  <c r="K55" s="1"/>
  <c r="M55" s="1"/>
  <c r="J51"/>
  <c r="K51" s="1"/>
  <c r="M51" s="1"/>
  <c r="J47"/>
  <c r="K47" s="1"/>
  <c r="M47" s="1"/>
  <c r="J43"/>
  <c r="K43" s="1"/>
  <c r="J39"/>
  <c r="K39" s="1"/>
  <c r="M39" s="1"/>
  <c r="J35"/>
  <c r="K35" s="1"/>
  <c r="M35" s="1"/>
  <c r="J31"/>
  <c r="K31" s="1"/>
  <c r="M31" s="1"/>
  <c r="J27"/>
  <c r="K27" s="1"/>
  <c r="M27" s="1"/>
  <c r="J23"/>
  <c r="K23" s="1"/>
  <c r="M23" s="1"/>
  <c r="J23" i="9"/>
  <c r="K23" s="1"/>
  <c r="M23" s="1"/>
  <c r="J27"/>
  <c r="K27" s="1"/>
  <c r="M27" s="1"/>
  <c r="J31"/>
  <c r="K31" s="1"/>
  <c r="M31" s="1"/>
  <c r="J35"/>
  <c r="K35" s="1"/>
  <c r="M35" s="1"/>
  <c r="J39"/>
  <c r="K39" s="1"/>
  <c r="M39" s="1"/>
  <c r="J43"/>
  <c r="K43" s="1"/>
  <c r="J47"/>
  <c r="K47" s="1"/>
  <c r="M47" s="1"/>
  <c r="J51"/>
  <c r="K51" s="1"/>
  <c r="M51" s="1"/>
  <c r="J55"/>
  <c r="K55" s="1"/>
  <c r="M55" s="1"/>
  <c r="J59"/>
  <c r="K59" s="1"/>
  <c r="J63"/>
  <c r="K63" s="1"/>
  <c r="M63" s="1"/>
  <c r="J24"/>
  <c r="K24" s="1"/>
  <c r="M24" s="1"/>
  <c r="J28"/>
  <c r="K28" s="1"/>
  <c r="M28" s="1"/>
  <c r="J32"/>
  <c r="K32" s="1"/>
  <c r="M32" s="1"/>
  <c r="J36"/>
  <c r="K36" s="1"/>
  <c r="M36" s="1"/>
  <c r="J40"/>
  <c r="K40" s="1"/>
  <c r="J44"/>
  <c r="K44" s="1"/>
  <c r="J48"/>
  <c r="K48" s="1"/>
  <c r="M48" s="1"/>
  <c r="J52"/>
  <c r="K52" s="1"/>
  <c r="M52" s="1"/>
  <c r="J56"/>
  <c r="K56" s="1"/>
  <c r="M56" s="1"/>
  <c r="J60"/>
  <c r="K60" s="1"/>
  <c r="M60" s="1"/>
  <c r="J64"/>
  <c r="K64" s="1"/>
  <c r="J21"/>
  <c r="K21" s="1"/>
  <c r="J25"/>
  <c r="K25" s="1"/>
  <c r="M25" s="1"/>
  <c r="J29"/>
  <c r="K29" s="1"/>
  <c r="M29" s="1"/>
  <c r="J33"/>
  <c r="K33" s="1"/>
  <c r="M33" s="1"/>
  <c r="J37"/>
  <c r="K37" s="1"/>
  <c r="M37" s="1"/>
  <c r="J41"/>
  <c r="K41" s="1"/>
  <c r="M41" s="1"/>
  <c r="J45"/>
  <c r="K45" s="1"/>
  <c r="J49"/>
  <c r="K49" s="1"/>
  <c r="M49" s="1"/>
  <c r="J53"/>
  <c r="K53" s="1"/>
  <c r="M53" s="1"/>
  <c r="J57"/>
  <c r="K57" s="1"/>
  <c r="M57" s="1"/>
  <c r="J61"/>
  <c r="K61" s="1"/>
  <c r="M61" s="1"/>
  <c r="J65"/>
  <c r="K65" s="1"/>
  <c r="M65" s="1"/>
  <c r="J22"/>
  <c r="K22" s="1"/>
  <c r="M22" s="1"/>
  <c r="J26"/>
  <c r="K26" s="1"/>
  <c r="M26" s="1"/>
  <c r="J30"/>
  <c r="K30" s="1"/>
  <c r="M30" s="1"/>
  <c r="J34"/>
  <c r="K34" s="1"/>
  <c r="M34" s="1"/>
  <c r="J38"/>
  <c r="K38" s="1"/>
  <c r="J42"/>
  <c r="K42" s="1"/>
  <c r="M42" s="1"/>
  <c r="J46"/>
  <c r="K46" s="1"/>
  <c r="M46" s="1"/>
  <c r="J50"/>
  <c r="K50" s="1"/>
  <c r="M50" s="1"/>
  <c r="J54"/>
  <c r="K54" s="1"/>
  <c r="M54" s="1"/>
  <c r="J58"/>
  <c r="K58" s="1"/>
  <c r="M58" s="1"/>
  <c r="J62"/>
  <c r="K62" s="1"/>
  <c r="M62" s="1"/>
  <c r="H33" i="5"/>
  <c r="I11" i="43"/>
  <c r="H11"/>
  <c r="H10"/>
  <c r="H8"/>
  <c r="G25" i="37"/>
  <c r="G24"/>
  <c r="H15" i="9"/>
  <c r="H14"/>
  <c r="H10"/>
  <c r="H9"/>
  <c r="H7"/>
  <c r="M39" i="5"/>
  <c r="H14" i="8"/>
  <c r="H8"/>
  <c r="L59" i="9" l="1"/>
  <c r="L64" s="1"/>
  <c r="L45" s="1"/>
  <c r="M59"/>
  <c r="M45"/>
  <c r="L20" i="8"/>
  <c r="M20"/>
  <c r="L40" i="9"/>
  <c r="M40"/>
  <c r="L40" i="8"/>
  <c r="M40" s="1"/>
  <c r="M21" i="9"/>
  <c r="K67"/>
  <c r="L59" i="8"/>
  <c r="L64" s="1"/>
  <c r="M64" s="1"/>
  <c r="M59"/>
  <c r="Q42" i="6"/>
  <c r="M64" i="9" l="1"/>
  <c r="K13" i="5"/>
  <c r="L13" s="1"/>
  <c r="M13" s="1"/>
  <c r="G16" i="43" l="1"/>
  <c r="G17"/>
  <c r="F19"/>
  <c r="F17"/>
  <c r="F16"/>
  <c r="F11"/>
  <c r="G74" i="42" l="1"/>
  <c r="G14"/>
  <c r="F73"/>
  <c r="E73"/>
  <c r="L65"/>
  <c r="I65"/>
  <c r="M65" s="1"/>
  <c r="G65"/>
  <c r="L64"/>
  <c r="I64"/>
  <c r="G64"/>
  <c r="L63"/>
  <c r="I63"/>
  <c r="M63" s="1"/>
  <c r="G63"/>
  <c r="L62"/>
  <c r="I62"/>
  <c r="G62"/>
  <c r="L61"/>
  <c r="I61"/>
  <c r="G61"/>
  <c r="L60"/>
  <c r="M60" s="1"/>
  <c r="I60"/>
  <c r="G60"/>
  <c r="L59"/>
  <c r="I59"/>
  <c r="F59"/>
  <c r="G59" s="1"/>
  <c r="L58"/>
  <c r="I58"/>
  <c r="G58"/>
  <c r="L57"/>
  <c r="I57"/>
  <c r="F57"/>
  <c r="G57" s="1"/>
  <c r="L56"/>
  <c r="I56"/>
  <c r="G56"/>
  <c r="L55"/>
  <c r="M55" s="1"/>
  <c r="I55"/>
  <c r="F55"/>
  <c r="G55" s="1"/>
  <c r="L54"/>
  <c r="M54" s="1"/>
  <c r="I54"/>
  <c r="G54"/>
  <c r="L53"/>
  <c r="M53" s="1"/>
  <c r="I53"/>
  <c r="G53"/>
  <c r="L52"/>
  <c r="M52" s="1"/>
  <c r="I52"/>
  <c r="G52"/>
  <c r="L51"/>
  <c r="M51" s="1"/>
  <c r="I51"/>
  <c r="F51"/>
  <c r="G51" s="1"/>
  <c r="G46"/>
  <c r="G45"/>
  <c r="G44"/>
  <c r="G43"/>
  <c r="G42"/>
  <c r="E34"/>
  <c r="F33"/>
  <c r="F32"/>
  <c r="G32" s="1"/>
  <c r="F31"/>
  <c r="G31" s="1"/>
  <c r="F30"/>
  <c r="G30" s="1"/>
  <c r="F29"/>
  <c r="G29" s="1"/>
  <c r="F28"/>
  <c r="G28" s="1"/>
  <c r="G26"/>
  <c r="F25"/>
  <c r="G25" s="1"/>
  <c r="F24"/>
  <c r="G24" s="1"/>
  <c r="F23"/>
  <c r="G23" s="1"/>
  <c r="F22"/>
  <c r="G22" s="1"/>
  <c r="F21"/>
  <c r="G21" s="1"/>
  <c r="F19"/>
  <c r="G19" s="1"/>
  <c r="F18"/>
  <c r="G18" s="1"/>
  <c r="F17"/>
  <c r="G17" s="1"/>
  <c r="F16"/>
  <c r="G16" s="1"/>
  <c r="F15"/>
  <c r="G15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G33" l="1"/>
  <c r="M58"/>
  <c r="M59"/>
  <c r="M57"/>
  <c r="M62"/>
  <c r="G73"/>
  <c r="G47"/>
  <c r="M56"/>
  <c r="M61"/>
  <c r="M64"/>
  <c r="G20"/>
  <c r="E48"/>
  <c r="H28" i="23"/>
  <c r="H21"/>
  <c r="H18"/>
  <c r="H17"/>
  <c r="K10"/>
  <c r="L10"/>
  <c r="M8"/>
  <c r="M9"/>
  <c r="P8"/>
  <c r="P9"/>
  <c r="O9"/>
  <c r="O8"/>
  <c r="Y68" i="41" l="1"/>
  <c r="S59"/>
  <c r="U57"/>
  <c r="U56"/>
  <c r="J46"/>
  <c r="J45"/>
  <c r="J44"/>
  <c r="J43"/>
  <c r="V39"/>
  <c r="V38"/>
  <c r="K38"/>
  <c r="Z68" s="1"/>
  <c r="J38"/>
  <c r="V37"/>
  <c r="V36"/>
  <c r="V34"/>
  <c r="V33"/>
  <c r="V32"/>
  <c r="V31"/>
  <c r="V29"/>
  <c r="V28"/>
  <c r="V27"/>
  <c r="K27"/>
  <c r="I27"/>
  <c r="V26"/>
  <c r="V24"/>
  <c r="V23"/>
  <c r="V22"/>
  <c r="V21"/>
  <c r="V19"/>
  <c r="V18"/>
  <c r="V17"/>
  <c r="V16"/>
  <c r="AA14"/>
  <c r="V14"/>
  <c r="V13"/>
  <c r="V12"/>
  <c r="V11"/>
  <c r="V9"/>
  <c r="V8"/>
  <c r="F8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AA7"/>
  <c r="V7"/>
  <c r="V6"/>
  <c r="S59" i="40"/>
  <c r="U57"/>
  <c r="U56"/>
  <c r="J46"/>
  <c r="J45"/>
  <c r="J44"/>
  <c r="J43"/>
  <c r="V39"/>
  <c r="V38"/>
  <c r="K38"/>
  <c r="Z68" s="1"/>
  <c r="J38"/>
  <c r="Y68" s="1"/>
  <c r="V37"/>
  <c r="V36"/>
  <c r="V34"/>
  <c r="V33"/>
  <c r="V32"/>
  <c r="V31"/>
  <c r="V29"/>
  <c r="V28"/>
  <c r="V27"/>
  <c r="K27"/>
  <c r="AA11" s="1"/>
  <c r="I27"/>
  <c r="V26"/>
  <c r="V24"/>
  <c r="V23"/>
  <c r="V22"/>
  <c r="V21"/>
  <c r="V19"/>
  <c r="V18"/>
  <c r="V17"/>
  <c r="V16"/>
  <c r="V14"/>
  <c r="V13"/>
  <c r="V12"/>
  <c r="V11"/>
  <c r="V9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V8"/>
  <c r="F8"/>
  <c r="V7"/>
  <c r="V6"/>
  <c r="AA29" i="41" l="1"/>
  <c r="AA19"/>
  <c r="AA18"/>
  <c r="AA13" i="40"/>
  <c r="AA13" i="41"/>
  <c r="AA16"/>
  <c r="AA7" i="40"/>
  <c r="AA16"/>
  <c r="AA38"/>
  <c r="AA6"/>
  <c r="AA19"/>
  <c r="AA9"/>
  <c r="AA12"/>
  <c r="AA14"/>
  <c r="AA8"/>
  <c r="AA18"/>
  <c r="AA26"/>
  <c r="AA21" i="41"/>
  <c r="AA32"/>
  <c r="AA36"/>
  <c r="AA39"/>
  <c r="AA28"/>
  <c r="AA38"/>
  <c r="AA37"/>
  <c r="AA34"/>
  <c r="AA31"/>
  <c r="I26"/>
  <c r="AA24"/>
  <c r="AA22"/>
  <c r="AA12"/>
  <c r="AA9"/>
  <c r="AA27"/>
  <c r="AA8"/>
  <c r="AA11"/>
  <c r="AA26"/>
  <c r="AA6"/>
  <c r="AA17"/>
  <c r="AA23"/>
  <c r="AA33"/>
  <c r="L27"/>
  <c r="J47"/>
  <c r="AA23" i="40"/>
  <c r="L27"/>
  <c r="AA33"/>
  <c r="AA24"/>
  <c r="AA17"/>
  <c r="AA21"/>
  <c r="AA22"/>
  <c r="AA32"/>
  <c r="AA34"/>
  <c r="AA28"/>
  <c r="AA39"/>
  <c r="J47"/>
  <c r="AA31"/>
  <c r="I26"/>
  <c r="AA27"/>
  <c r="AA29"/>
  <c r="AA36"/>
  <c r="AA37"/>
  <c r="E45" i="9"/>
  <c r="E24" i="37"/>
  <c r="E26"/>
  <c r="E11" i="9"/>
  <c r="E10"/>
  <c r="E8"/>
  <c r="E7"/>
  <c r="D8"/>
  <c r="D7"/>
  <c r="E45" i="8"/>
  <c r="F35" i="37"/>
  <c r="F34"/>
  <c r="C19"/>
  <c r="E25" s="1"/>
  <c r="F25" s="1"/>
  <c r="G26" i="5"/>
  <c r="I26"/>
  <c r="D8" i="8"/>
  <c r="E8"/>
  <c r="S10" i="6"/>
  <c r="R10"/>
  <c r="T10" s="1"/>
  <c r="E72" i="5"/>
  <c r="F72"/>
  <c r="F8" i="9" l="1"/>
  <c r="H8" s="1"/>
  <c r="P8" i="8" s="1"/>
  <c r="Q8" s="1"/>
  <c r="G72" i="5"/>
  <c r="I72"/>
  <c r="I28" i="41"/>
  <c r="I28" i="40"/>
  <c r="L30" i="37"/>
  <c r="L31"/>
  <c r="Y68" i="39"/>
  <c r="S59"/>
  <c r="U57"/>
  <c r="U56"/>
  <c r="J46"/>
  <c r="J45"/>
  <c r="J44"/>
  <c r="J43"/>
  <c r="V39"/>
  <c r="V38"/>
  <c r="K38"/>
  <c r="Z68" s="1"/>
  <c r="J38"/>
  <c r="V37"/>
  <c r="V36"/>
  <c r="V34"/>
  <c r="V33"/>
  <c r="V32"/>
  <c r="V31"/>
  <c r="V29"/>
  <c r="V28"/>
  <c r="V27"/>
  <c r="K27"/>
  <c r="AA18" s="1"/>
  <c r="I27"/>
  <c r="V26"/>
  <c r="V24"/>
  <c r="V23"/>
  <c r="V22"/>
  <c r="V21"/>
  <c r="V19"/>
  <c r="V18"/>
  <c r="V17"/>
  <c r="V16"/>
  <c r="V14"/>
  <c r="V13"/>
  <c r="V12"/>
  <c r="V11"/>
  <c r="V9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V8"/>
  <c r="F8"/>
  <c r="V7"/>
  <c r="V6"/>
  <c r="I14" i="5"/>
  <c r="I7"/>
  <c r="F65" i="9"/>
  <c r="H65" s="1"/>
  <c r="P65" i="8" s="1"/>
  <c r="Q65" s="1"/>
  <c r="F64" i="9"/>
  <c r="H64" s="1"/>
  <c r="P64" i="8" s="1"/>
  <c r="Q64" s="1"/>
  <c r="F63" i="9"/>
  <c r="H63" s="1"/>
  <c r="P63" i="8" s="1"/>
  <c r="Q63" s="1"/>
  <c r="F62" i="9"/>
  <c r="H62" s="1"/>
  <c r="P62" i="8" s="1"/>
  <c r="Q62" s="1"/>
  <c r="F59" i="9"/>
  <c r="H59" s="1"/>
  <c r="P59" i="8" s="1"/>
  <c r="Q59" s="1"/>
  <c r="F58" i="9"/>
  <c r="H58" s="1"/>
  <c r="P58" i="8" s="1"/>
  <c r="Q58" s="1"/>
  <c r="F57" i="9"/>
  <c r="H57" s="1"/>
  <c r="P57" i="8" s="1"/>
  <c r="Q57" s="1"/>
  <c r="F56" i="9"/>
  <c r="H56" s="1"/>
  <c r="P56" i="8" s="1"/>
  <c r="Q56" s="1"/>
  <c r="F55" i="9"/>
  <c r="H55" s="1"/>
  <c r="P55" i="8" s="1"/>
  <c r="Q55" s="1"/>
  <c r="F54" i="9"/>
  <c r="H54" s="1"/>
  <c r="P54" i="8" s="1"/>
  <c r="Q54" s="1"/>
  <c r="F51" i="9"/>
  <c r="H51" s="1"/>
  <c r="P51" i="8" s="1"/>
  <c r="Q51" s="1"/>
  <c r="F49" i="9"/>
  <c r="H49" s="1"/>
  <c r="P49" i="8" s="1"/>
  <c r="Q49" s="1"/>
  <c r="F47" i="9"/>
  <c r="H47" s="1"/>
  <c r="P47" i="8" s="1"/>
  <c r="Q47" s="1"/>
  <c r="H42" i="9"/>
  <c r="F28"/>
  <c r="H28" s="1"/>
  <c r="P28" i="8" s="1"/>
  <c r="Q28" s="1"/>
  <c r="F27" i="9"/>
  <c r="H27" s="1"/>
  <c r="P27" i="8" s="1"/>
  <c r="Q27" s="1"/>
  <c r="H23" i="9"/>
  <c r="H22"/>
  <c r="A1"/>
  <c r="O82" i="38"/>
  <c r="O92"/>
  <c r="O72"/>
  <c r="O62"/>
  <c r="O51"/>
  <c r="H22" i="8"/>
  <c r="H42"/>
  <c r="J29" i="23"/>
  <c r="O11"/>
  <c r="O12"/>
  <c r="O15"/>
  <c r="O16"/>
  <c r="O23"/>
  <c r="O27"/>
  <c r="F63" i="8"/>
  <c r="H63" s="1"/>
  <c r="F28"/>
  <c r="H28" s="1"/>
  <c r="F49"/>
  <c r="H49" s="1"/>
  <c r="F54"/>
  <c r="H54" s="1"/>
  <c r="F55"/>
  <c r="H55" s="1"/>
  <c r="F56"/>
  <c r="H56" s="1"/>
  <c r="F57"/>
  <c r="H57" s="1"/>
  <c r="F58"/>
  <c r="H58" s="1"/>
  <c r="F59"/>
  <c r="H59" s="1"/>
  <c r="F62"/>
  <c r="F64"/>
  <c r="H64" s="1"/>
  <c r="F65"/>
  <c r="H65" s="1"/>
  <c r="B89" i="38"/>
  <c r="C88"/>
  <c r="D87"/>
  <c r="E87" s="1"/>
  <c r="F87" s="1"/>
  <c r="G87" s="1"/>
  <c r="H87" s="1"/>
  <c r="I87" s="1"/>
  <c r="J87" s="1"/>
  <c r="K87" s="1"/>
  <c r="L87" s="1"/>
  <c r="M87" s="1"/>
  <c r="C87"/>
  <c r="D86"/>
  <c r="E86" s="1"/>
  <c r="F86" s="1"/>
  <c r="G86" s="1"/>
  <c r="H86" s="1"/>
  <c r="I86" s="1"/>
  <c r="J86" s="1"/>
  <c r="K86" s="1"/>
  <c r="L86" s="1"/>
  <c r="M86" s="1"/>
  <c r="C86"/>
  <c r="D85"/>
  <c r="C85"/>
  <c r="B82"/>
  <c r="D81"/>
  <c r="E81" s="1"/>
  <c r="F81" s="1"/>
  <c r="G81" s="1"/>
  <c r="H81" s="1"/>
  <c r="I81" s="1"/>
  <c r="J81" s="1"/>
  <c r="K81" s="1"/>
  <c r="L81" s="1"/>
  <c r="M81" s="1"/>
  <c r="C81"/>
  <c r="H80"/>
  <c r="I80" s="1"/>
  <c r="J80" s="1"/>
  <c r="K80" s="1"/>
  <c r="L80" s="1"/>
  <c r="M80" s="1"/>
  <c r="E80"/>
  <c r="F80" s="1"/>
  <c r="G80" s="1"/>
  <c r="D80"/>
  <c r="C80"/>
  <c r="M79"/>
  <c r="C79"/>
  <c r="N78"/>
  <c r="C77"/>
  <c r="D76"/>
  <c r="E76" s="1"/>
  <c r="F76" s="1"/>
  <c r="G76" s="1"/>
  <c r="H76" s="1"/>
  <c r="I76" s="1"/>
  <c r="J76" s="1"/>
  <c r="K76" s="1"/>
  <c r="L76" s="1"/>
  <c r="M76" s="1"/>
  <c r="C76"/>
  <c r="C75"/>
  <c r="C82" s="1"/>
  <c r="C72"/>
  <c r="B72"/>
  <c r="D71"/>
  <c r="E71" s="1"/>
  <c r="F71" s="1"/>
  <c r="G71" s="1"/>
  <c r="H71" s="1"/>
  <c r="I71" s="1"/>
  <c r="J71" s="1"/>
  <c r="K71" s="1"/>
  <c r="L71" s="1"/>
  <c r="M71" s="1"/>
  <c r="C71"/>
  <c r="H70"/>
  <c r="I70" s="1"/>
  <c r="J70" s="1"/>
  <c r="K70" s="1"/>
  <c r="L70" s="1"/>
  <c r="M70" s="1"/>
  <c r="D70"/>
  <c r="E70" s="1"/>
  <c r="F70" s="1"/>
  <c r="G70" s="1"/>
  <c r="C70"/>
  <c r="I69"/>
  <c r="J69" s="1"/>
  <c r="K69" s="1"/>
  <c r="L69" s="1"/>
  <c r="M69" s="1"/>
  <c r="H69"/>
  <c r="E69"/>
  <c r="F69" s="1"/>
  <c r="G69" s="1"/>
  <c r="D69"/>
  <c r="C69"/>
  <c r="E68"/>
  <c r="F68" s="1"/>
  <c r="G68" s="1"/>
  <c r="H68" s="1"/>
  <c r="I68" s="1"/>
  <c r="J68" s="1"/>
  <c r="K68" s="1"/>
  <c r="L68" s="1"/>
  <c r="M68" s="1"/>
  <c r="D68"/>
  <c r="C68"/>
  <c r="L67"/>
  <c r="M67" s="1"/>
  <c r="I67"/>
  <c r="J67" s="1"/>
  <c r="K67" s="1"/>
  <c r="E67"/>
  <c r="F67" s="1"/>
  <c r="G67" s="1"/>
  <c r="H67" s="1"/>
  <c r="D67"/>
  <c r="C67"/>
  <c r="D66"/>
  <c r="E66" s="1"/>
  <c r="F66" s="1"/>
  <c r="G66" s="1"/>
  <c r="H66" s="1"/>
  <c r="I66" s="1"/>
  <c r="J66" s="1"/>
  <c r="K66" s="1"/>
  <c r="L66" s="1"/>
  <c r="M66" s="1"/>
  <c r="C66"/>
  <c r="E65"/>
  <c r="D65"/>
  <c r="C65"/>
  <c r="B62"/>
  <c r="J61"/>
  <c r="K61" s="1"/>
  <c r="L61" s="1"/>
  <c r="M61" s="1"/>
  <c r="F61"/>
  <c r="G61" s="1"/>
  <c r="H61" s="1"/>
  <c r="I61" s="1"/>
  <c r="E61"/>
  <c r="C61"/>
  <c r="D61" s="1"/>
  <c r="C60"/>
  <c r="D60" s="1"/>
  <c r="E60" s="1"/>
  <c r="F60" s="1"/>
  <c r="G60" s="1"/>
  <c r="H60" s="1"/>
  <c r="I60" s="1"/>
  <c r="J60" s="1"/>
  <c r="K60" s="1"/>
  <c r="L60" s="1"/>
  <c r="M60" s="1"/>
  <c r="F59"/>
  <c r="G59" s="1"/>
  <c r="H59" s="1"/>
  <c r="I59" s="1"/>
  <c r="J59" s="1"/>
  <c r="K59" s="1"/>
  <c r="L59" s="1"/>
  <c r="M59" s="1"/>
  <c r="C59"/>
  <c r="D59" s="1"/>
  <c r="E59" s="1"/>
  <c r="I58"/>
  <c r="J58" s="1"/>
  <c r="K58" s="1"/>
  <c r="L58" s="1"/>
  <c r="M58" s="1"/>
  <c r="F58"/>
  <c r="G58" s="1"/>
  <c r="H58" s="1"/>
  <c r="E58"/>
  <c r="N58" s="1"/>
  <c r="C58"/>
  <c r="D58" s="1"/>
  <c r="F57"/>
  <c r="E57"/>
  <c r="C57"/>
  <c r="D57" s="1"/>
  <c r="G56"/>
  <c r="H56" s="1"/>
  <c r="I56" s="1"/>
  <c r="J56" s="1"/>
  <c r="K56" s="1"/>
  <c r="L56" s="1"/>
  <c r="M56" s="1"/>
  <c r="F56"/>
  <c r="E56"/>
  <c r="C56"/>
  <c r="D56" s="1"/>
  <c r="C55"/>
  <c r="D55" s="1"/>
  <c r="E55" s="1"/>
  <c r="F55" s="1"/>
  <c r="G55" s="1"/>
  <c r="H55" s="1"/>
  <c r="I55" s="1"/>
  <c r="J55" s="1"/>
  <c r="K55" s="1"/>
  <c r="L55" s="1"/>
  <c r="M55" s="1"/>
  <c r="C54"/>
  <c r="C50"/>
  <c r="B49"/>
  <c r="B51" s="1"/>
  <c r="N48"/>
  <c r="D47"/>
  <c r="E47" s="1"/>
  <c r="F47" s="1"/>
  <c r="G47" s="1"/>
  <c r="H47" s="1"/>
  <c r="I47" s="1"/>
  <c r="J47" s="1"/>
  <c r="K47" s="1"/>
  <c r="L47" s="1"/>
  <c r="M47" s="1"/>
  <c r="C47"/>
  <c r="L46"/>
  <c r="M46" s="1"/>
  <c r="F46"/>
  <c r="G46" s="1"/>
  <c r="H46" s="1"/>
  <c r="I46" s="1"/>
  <c r="J46" s="1"/>
  <c r="K46" s="1"/>
  <c r="E46"/>
  <c r="D46"/>
  <c r="N46" s="1"/>
  <c r="C46"/>
  <c r="I45"/>
  <c r="J45" s="1"/>
  <c r="K45" s="1"/>
  <c r="L45" s="1"/>
  <c r="M45" s="1"/>
  <c r="D45"/>
  <c r="E45" s="1"/>
  <c r="F45" s="1"/>
  <c r="G45" s="1"/>
  <c r="H45" s="1"/>
  <c r="C45"/>
  <c r="F44"/>
  <c r="E44"/>
  <c r="D44"/>
  <c r="C44"/>
  <c r="B41"/>
  <c r="K40"/>
  <c r="L40" s="1"/>
  <c r="M40" s="1"/>
  <c r="F40"/>
  <c r="G40" s="1"/>
  <c r="H40" s="1"/>
  <c r="I40" s="1"/>
  <c r="J40" s="1"/>
  <c r="E40"/>
  <c r="C40"/>
  <c r="D40" s="1"/>
  <c r="M39"/>
  <c r="K39"/>
  <c r="L39" s="1"/>
  <c r="G39"/>
  <c r="H39" s="1"/>
  <c r="I39" s="1"/>
  <c r="J39" s="1"/>
  <c r="F39"/>
  <c r="E39"/>
  <c r="C39"/>
  <c r="D39" s="1"/>
  <c r="I38"/>
  <c r="J38" s="1"/>
  <c r="K38" s="1"/>
  <c r="L38" s="1"/>
  <c r="M38" s="1"/>
  <c r="G38"/>
  <c r="H38" s="1"/>
  <c r="C38"/>
  <c r="D38" s="1"/>
  <c r="E38" s="1"/>
  <c r="F38" s="1"/>
  <c r="J37"/>
  <c r="K37" s="1"/>
  <c r="L37" s="1"/>
  <c r="M37" s="1"/>
  <c r="I37"/>
  <c r="E37"/>
  <c r="F37" s="1"/>
  <c r="G37" s="1"/>
  <c r="H37" s="1"/>
  <c r="C37"/>
  <c r="D37" s="1"/>
  <c r="D36"/>
  <c r="E36" s="1"/>
  <c r="C36"/>
  <c r="N35"/>
  <c r="D32"/>
  <c r="C32"/>
  <c r="B32"/>
  <c r="H31"/>
  <c r="I31" s="1"/>
  <c r="J31" s="1"/>
  <c r="K31" s="1"/>
  <c r="L31" s="1"/>
  <c r="M31" s="1"/>
  <c r="F31"/>
  <c r="G31" s="1"/>
  <c r="E31"/>
  <c r="D31"/>
  <c r="N31" s="1"/>
  <c r="C31"/>
  <c r="E30"/>
  <c r="F30" s="1"/>
  <c r="G30" s="1"/>
  <c r="H30" s="1"/>
  <c r="I30" s="1"/>
  <c r="J30" s="1"/>
  <c r="K30" s="1"/>
  <c r="L30" s="1"/>
  <c r="M30" s="1"/>
  <c r="D30"/>
  <c r="N30" s="1"/>
  <c r="C30"/>
  <c r="H29"/>
  <c r="I29" s="1"/>
  <c r="J29" s="1"/>
  <c r="K29" s="1"/>
  <c r="L29" s="1"/>
  <c r="M29" s="1"/>
  <c r="F29"/>
  <c r="G29" s="1"/>
  <c r="E29"/>
  <c r="D29"/>
  <c r="N29" s="1"/>
  <c r="C29"/>
  <c r="E28"/>
  <c r="E49" s="1"/>
  <c r="D28"/>
  <c r="C28"/>
  <c r="C49" s="1"/>
  <c r="H27"/>
  <c r="I27" s="1"/>
  <c r="J27" s="1"/>
  <c r="K27" s="1"/>
  <c r="L27" s="1"/>
  <c r="M27" s="1"/>
  <c r="F27"/>
  <c r="G27" s="1"/>
  <c r="E27"/>
  <c r="D27"/>
  <c r="N27" s="1"/>
  <c r="C27"/>
  <c r="E26"/>
  <c r="F26" s="1"/>
  <c r="G26" s="1"/>
  <c r="H26" s="1"/>
  <c r="I26" s="1"/>
  <c r="J26" s="1"/>
  <c r="K26" s="1"/>
  <c r="L26" s="1"/>
  <c r="M26" s="1"/>
  <c r="D26"/>
  <c r="N26" s="1"/>
  <c r="C26"/>
  <c r="H25"/>
  <c r="I25" s="1"/>
  <c r="J25" s="1"/>
  <c r="K25" s="1"/>
  <c r="L25" s="1"/>
  <c r="M25" s="1"/>
  <c r="F25"/>
  <c r="G25" s="1"/>
  <c r="E25"/>
  <c r="D25"/>
  <c r="N25" s="1"/>
  <c r="C25"/>
  <c r="E24"/>
  <c r="F24" s="1"/>
  <c r="G24" s="1"/>
  <c r="H24" s="1"/>
  <c r="I24" s="1"/>
  <c r="J24" s="1"/>
  <c r="K24" s="1"/>
  <c r="L24" s="1"/>
  <c r="M24" s="1"/>
  <c r="D24"/>
  <c r="N24" s="1"/>
  <c r="C24"/>
  <c r="E23"/>
  <c r="F23" s="1"/>
  <c r="G23" s="1"/>
  <c r="H23" s="1"/>
  <c r="I23" s="1"/>
  <c r="J23" s="1"/>
  <c r="K23" s="1"/>
  <c r="L23" s="1"/>
  <c r="M23" s="1"/>
  <c r="D23"/>
  <c r="C23"/>
  <c r="N23" s="1"/>
  <c r="E22"/>
  <c r="F22" s="1"/>
  <c r="G22" s="1"/>
  <c r="H22" s="1"/>
  <c r="I22" s="1"/>
  <c r="J22" s="1"/>
  <c r="K22" s="1"/>
  <c r="L22" s="1"/>
  <c r="M22" s="1"/>
  <c r="D22"/>
  <c r="C22"/>
  <c r="E21"/>
  <c r="F21" s="1"/>
  <c r="G21" s="1"/>
  <c r="H21" s="1"/>
  <c r="I21" s="1"/>
  <c r="J21" s="1"/>
  <c r="K21" s="1"/>
  <c r="L21" s="1"/>
  <c r="M21" s="1"/>
  <c r="D21"/>
  <c r="C21"/>
  <c r="E20"/>
  <c r="F20" s="1"/>
  <c r="G20" s="1"/>
  <c r="H20" s="1"/>
  <c r="I20" s="1"/>
  <c r="J20" s="1"/>
  <c r="K20" s="1"/>
  <c r="L20" s="1"/>
  <c r="M20" s="1"/>
  <c r="D20"/>
  <c r="C20"/>
  <c r="N20" s="1"/>
  <c r="E19"/>
  <c r="F19" s="1"/>
  <c r="G19" s="1"/>
  <c r="H19" s="1"/>
  <c r="I19" s="1"/>
  <c r="J19" s="1"/>
  <c r="K19" s="1"/>
  <c r="L19" s="1"/>
  <c r="M19" s="1"/>
  <c r="D19"/>
  <c r="C19"/>
  <c r="N19" s="1"/>
  <c r="E18"/>
  <c r="F18" s="1"/>
  <c r="G18" s="1"/>
  <c r="H18" s="1"/>
  <c r="I18" s="1"/>
  <c r="J18" s="1"/>
  <c r="K18" s="1"/>
  <c r="L18" s="1"/>
  <c r="M18" s="1"/>
  <c r="D18"/>
  <c r="C18"/>
  <c r="E17"/>
  <c r="F17" s="1"/>
  <c r="G17" s="1"/>
  <c r="H17" s="1"/>
  <c r="I17" s="1"/>
  <c r="J17" s="1"/>
  <c r="K17" s="1"/>
  <c r="L17" s="1"/>
  <c r="M17" s="1"/>
  <c r="D17"/>
  <c r="C17"/>
  <c r="E16"/>
  <c r="F16" s="1"/>
  <c r="G16" s="1"/>
  <c r="H16" s="1"/>
  <c r="I16" s="1"/>
  <c r="J16" s="1"/>
  <c r="K16" s="1"/>
  <c r="L16" s="1"/>
  <c r="M16" s="1"/>
  <c r="D16"/>
  <c r="C16"/>
  <c r="N16" s="1"/>
  <c r="E15"/>
  <c r="F15" s="1"/>
  <c r="G15" s="1"/>
  <c r="H15" s="1"/>
  <c r="I15" s="1"/>
  <c r="J15" s="1"/>
  <c r="K15" s="1"/>
  <c r="L15" s="1"/>
  <c r="M15" s="1"/>
  <c r="D15"/>
  <c r="C15"/>
  <c r="N15" s="1"/>
  <c r="E14"/>
  <c r="E32" s="1"/>
  <c r="D14"/>
  <c r="C14"/>
  <c r="B11"/>
  <c r="B91" s="1"/>
  <c r="C10"/>
  <c r="D10" s="1"/>
  <c r="C9"/>
  <c r="D9" s="1"/>
  <c r="C8"/>
  <c r="D8" s="1"/>
  <c r="C7"/>
  <c r="D7" s="1"/>
  <c r="C6"/>
  <c r="D6" s="1"/>
  <c r="C5"/>
  <c r="C11" s="1"/>
  <c r="C91" s="1"/>
  <c r="J9" i="23"/>
  <c r="J10"/>
  <c r="J11"/>
  <c r="J12"/>
  <c r="J13"/>
  <c r="J14"/>
  <c r="J15"/>
  <c r="J16"/>
  <c r="J17"/>
  <c r="J18"/>
  <c r="J21"/>
  <c r="J22"/>
  <c r="J23"/>
  <c r="J24"/>
  <c r="J25"/>
  <c r="J27"/>
  <c r="J28"/>
  <c r="J8"/>
  <c r="I9"/>
  <c r="I10"/>
  <c r="O10" s="1"/>
  <c r="I11"/>
  <c r="I12"/>
  <c r="I13"/>
  <c r="O13" s="1"/>
  <c r="I14"/>
  <c r="O14" s="1"/>
  <c r="I15"/>
  <c r="I16"/>
  <c r="I17"/>
  <c r="O17" s="1"/>
  <c r="I18"/>
  <c r="I21"/>
  <c r="O21" s="1"/>
  <c r="I22"/>
  <c r="O22" s="1"/>
  <c r="I23"/>
  <c r="I24"/>
  <c r="O24" s="1"/>
  <c r="I25"/>
  <c r="O25" s="1"/>
  <c r="I27"/>
  <c r="I28"/>
  <c r="O28" s="1"/>
  <c r="I8"/>
  <c r="AA24" i="39" l="1"/>
  <c r="O29" i="23"/>
  <c r="AA6" i="39"/>
  <c r="AA16"/>
  <c r="AA19"/>
  <c r="AA33"/>
  <c r="AA9"/>
  <c r="AA22"/>
  <c r="AA31"/>
  <c r="AA7"/>
  <c r="AA8"/>
  <c r="AA14"/>
  <c r="AA17"/>
  <c r="AA32"/>
  <c r="AA26"/>
  <c r="L32" i="37"/>
  <c r="L34" s="1"/>
  <c r="AA12" i="39"/>
  <c r="L27"/>
  <c r="AA34"/>
  <c r="AA23"/>
  <c r="AA21"/>
  <c r="AA13"/>
  <c r="AA11"/>
  <c r="AA38"/>
  <c r="AA37"/>
  <c r="AA36"/>
  <c r="AA29"/>
  <c r="AA27"/>
  <c r="I26"/>
  <c r="AA39"/>
  <c r="AA28"/>
  <c r="J47"/>
  <c r="H62" i="8"/>
  <c r="N7" i="38"/>
  <c r="E7"/>
  <c r="F7" s="1"/>
  <c r="G7" s="1"/>
  <c r="H7" s="1"/>
  <c r="I7" s="1"/>
  <c r="J7" s="1"/>
  <c r="K7" s="1"/>
  <c r="L7" s="1"/>
  <c r="M7" s="1"/>
  <c r="E8"/>
  <c r="F8" s="1"/>
  <c r="G8" s="1"/>
  <c r="H8" s="1"/>
  <c r="I8" s="1"/>
  <c r="J8" s="1"/>
  <c r="K8" s="1"/>
  <c r="L8" s="1"/>
  <c r="M8" s="1"/>
  <c r="N18"/>
  <c r="N22"/>
  <c r="N9"/>
  <c r="E9"/>
  <c r="F9" s="1"/>
  <c r="G9" s="1"/>
  <c r="H9" s="1"/>
  <c r="I9" s="1"/>
  <c r="J9" s="1"/>
  <c r="K9" s="1"/>
  <c r="L9" s="1"/>
  <c r="M9" s="1"/>
  <c r="N17"/>
  <c r="N21"/>
  <c r="N6"/>
  <c r="E6"/>
  <c r="F6" s="1"/>
  <c r="G6" s="1"/>
  <c r="H6" s="1"/>
  <c r="I6" s="1"/>
  <c r="J6" s="1"/>
  <c r="K6" s="1"/>
  <c r="L6" s="1"/>
  <c r="M6" s="1"/>
  <c r="E10"/>
  <c r="F10" s="1"/>
  <c r="G10" s="1"/>
  <c r="H10" s="1"/>
  <c r="I10" s="1"/>
  <c r="J10" s="1"/>
  <c r="K10" s="1"/>
  <c r="L10" s="1"/>
  <c r="M10" s="1"/>
  <c r="F14"/>
  <c r="F28"/>
  <c r="N37"/>
  <c r="N45"/>
  <c r="D49"/>
  <c r="D5"/>
  <c r="C51"/>
  <c r="C92" s="1"/>
  <c r="C93" s="1"/>
  <c r="C94" s="1"/>
  <c r="N38"/>
  <c r="D41"/>
  <c r="N47"/>
  <c r="N61"/>
  <c r="C41"/>
  <c r="E51"/>
  <c r="N50"/>
  <c r="D50"/>
  <c r="E50" s="1"/>
  <c r="F50" s="1"/>
  <c r="G50" s="1"/>
  <c r="H50" s="1"/>
  <c r="I50" s="1"/>
  <c r="J50" s="1"/>
  <c r="K50" s="1"/>
  <c r="L50" s="1"/>
  <c r="M50" s="1"/>
  <c r="F36"/>
  <c r="E41"/>
  <c r="G44"/>
  <c r="B92"/>
  <c r="B93" s="1"/>
  <c r="B94" s="1"/>
  <c r="N39"/>
  <c r="N56"/>
  <c r="G57"/>
  <c r="H57" s="1"/>
  <c r="I57" s="1"/>
  <c r="J57" s="1"/>
  <c r="K57" s="1"/>
  <c r="L57" s="1"/>
  <c r="M57" s="1"/>
  <c r="D79"/>
  <c r="E79" s="1"/>
  <c r="F79" s="1"/>
  <c r="G79" s="1"/>
  <c r="H79" s="1"/>
  <c r="I79" s="1"/>
  <c r="J79" s="1"/>
  <c r="N80"/>
  <c r="N40"/>
  <c r="D51"/>
  <c r="N70"/>
  <c r="D88"/>
  <c r="E88" s="1"/>
  <c r="F88" s="1"/>
  <c r="G88" s="1"/>
  <c r="H88" s="1"/>
  <c r="I88" s="1"/>
  <c r="J88" s="1"/>
  <c r="K88" s="1"/>
  <c r="L88" s="1"/>
  <c r="M88" s="1"/>
  <c r="C62"/>
  <c r="D54"/>
  <c r="N59"/>
  <c r="E72"/>
  <c r="F65"/>
  <c r="N66"/>
  <c r="N71"/>
  <c r="D72"/>
  <c r="D75"/>
  <c r="N76"/>
  <c r="N81"/>
  <c r="D89"/>
  <c r="E85"/>
  <c r="N86"/>
  <c r="C89"/>
  <c r="N55"/>
  <c r="N60"/>
  <c r="N67"/>
  <c r="N69"/>
  <c r="N77"/>
  <c r="D77"/>
  <c r="E77" s="1"/>
  <c r="F77" s="1"/>
  <c r="G77" s="1"/>
  <c r="H77" s="1"/>
  <c r="I77" s="1"/>
  <c r="J77" s="1"/>
  <c r="K77" s="1"/>
  <c r="L77" s="1"/>
  <c r="M77" s="1"/>
  <c r="N68"/>
  <c r="N87"/>
  <c r="Q48" i="6" l="1"/>
  <c r="Q36"/>
  <c r="I28" i="39"/>
  <c r="N79" i="38"/>
  <c r="N10"/>
  <c r="N8"/>
  <c r="E89"/>
  <c r="F85"/>
  <c r="E75"/>
  <c r="D82"/>
  <c r="N88"/>
  <c r="H44"/>
  <c r="D11"/>
  <c r="D91" s="1"/>
  <c r="E5"/>
  <c r="F72"/>
  <c r="G65"/>
  <c r="D62"/>
  <c r="E54"/>
  <c r="N57"/>
  <c r="F49"/>
  <c r="F51" s="1"/>
  <c r="G28"/>
  <c r="F41"/>
  <c r="G36"/>
  <c r="F32"/>
  <c r="G14"/>
  <c r="R48" i="6" l="1"/>
  <c r="G41" i="38"/>
  <c r="H36"/>
  <c r="F89"/>
  <c r="G85"/>
  <c r="D92"/>
  <c r="D93" s="1"/>
  <c r="D94" s="1"/>
  <c r="G72"/>
  <c r="H65"/>
  <c r="G49"/>
  <c r="H28"/>
  <c r="E62"/>
  <c r="F54"/>
  <c r="E11"/>
  <c r="E91" s="1"/>
  <c r="F5"/>
  <c r="I44"/>
  <c r="F75"/>
  <c r="E82"/>
  <c r="G32"/>
  <c r="H14"/>
  <c r="D60" i="9" l="1"/>
  <c r="E60" s="1"/>
  <c r="S48" i="6"/>
  <c r="T48" s="1"/>
  <c r="D60" i="8"/>
  <c r="I14" i="38"/>
  <c r="H32"/>
  <c r="F82"/>
  <c r="G75"/>
  <c r="H49"/>
  <c r="H51" s="1"/>
  <c r="I28"/>
  <c r="G51"/>
  <c r="F11"/>
  <c r="F91" s="1"/>
  <c r="G5"/>
  <c r="J44"/>
  <c r="F62"/>
  <c r="G54"/>
  <c r="H72"/>
  <c r="I65"/>
  <c r="G89"/>
  <c r="H85"/>
  <c r="E92"/>
  <c r="E93" s="1"/>
  <c r="E94" s="1"/>
  <c r="H41"/>
  <c r="I36"/>
  <c r="E60" i="8" l="1"/>
  <c r="F60" s="1"/>
  <c r="G60" s="1"/>
  <c r="H60" s="1"/>
  <c r="O60" s="1"/>
  <c r="F60" i="9"/>
  <c r="V48" i="6"/>
  <c r="R60" i="8"/>
  <c r="G62" i="38"/>
  <c r="H54"/>
  <c r="I49"/>
  <c r="J28"/>
  <c r="J36"/>
  <c r="I41"/>
  <c r="I72"/>
  <c r="J65"/>
  <c r="F92"/>
  <c r="G11"/>
  <c r="G91" s="1"/>
  <c r="H5"/>
  <c r="I32"/>
  <c r="J14"/>
  <c r="H89"/>
  <c r="I85"/>
  <c r="K44"/>
  <c r="F93"/>
  <c r="F94" s="1"/>
  <c r="G82"/>
  <c r="H75"/>
  <c r="G60" i="9" l="1"/>
  <c r="H60" s="1"/>
  <c r="P60" i="8" s="1"/>
  <c r="Q60" s="1"/>
  <c r="S60" s="1"/>
  <c r="X48" i="6"/>
  <c r="AA48" s="1"/>
  <c r="I54" i="38"/>
  <c r="H62"/>
  <c r="L44"/>
  <c r="J32"/>
  <c r="K14"/>
  <c r="K28"/>
  <c r="J49"/>
  <c r="J51" s="1"/>
  <c r="G92"/>
  <c r="I75"/>
  <c r="H82"/>
  <c r="I89"/>
  <c r="J85"/>
  <c r="H11"/>
  <c r="H91" s="1"/>
  <c r="I5"/>
  <c r="J41"/>
  <c r="K36"/>
  <c r="G93"/>
  <c r="G94" s="1"/>
  <c r="J72"/>
  <c r="K65"/>
  <c r="I51"/>
  <c r="R19" i="37"/>
  <c r="R21" s="1"/>
  <c r="Q16"/>
  <c r="N16"/>
  <c r="M16"/>
  <c r="L16"/>
  <c r="K16"/>
  <c r="J16"/>
  <c r="G16"/>
  <c r="F16"/>
  <c r="E16"/>
  <c r="D16"/>
  <c r="C16"/>
  <c r="Q15"/>
  <c r="N15"/>
  <c r="M15"/>
  <c r="L15"/>
  <c r="K15"/>
  <c r="J15"/>
  <c r="G15"/>
  <c r="F15"/>
  <c r="E15"/>
  <c r="D15"/>
  <c r="C15"/>
  <c r="Q14"/>
  <c r="N14"/>
  <c r="M14"/>
  <c r="L14"/>
  <c r="K14"/>
  <c r="J14"/>
  <c r="G14"/>
  <c r="F14"/>
  <c r="E14"/>
  <c r="D14"/>
  <c r="C14"/>
  <c r="Q13"/>
  <c r="N13"/>
  <c r="M13"/>
  <c r="L13"/>
  <c r="K13"/>
  <c r="J13"/>
  <c r="G13"/>
  <c r="F13"/>
  <c r="E13"/>
  <c r="D13"/>
  <c r="C13"/>
  <c r="Q12"/>
  <c r="N12"/>
  <c r="M12"/>
  <c r="L12"/>
  <c r="K12"/>
  <c r="J12"/>
  <c r="G12"/>
  <c r="F12"/>
  <c r="E12"/>
  <c r="D12"/>
  <c r="C12"/>
  <c r="Q11"/>
  <c r="N11"/>
  <c r="M11"/>
  <c r="L11"/>
  <c r="K11"/>
  <c r="J11"/>
  <c r="G11"/>
  <c r="F11"/>
  <c r="E11"/>
  <c r="D11"/>
  <c r="C11"/>
  <c r="Q10"/>
  <c r="N10"/>
  <c r="M10"/>
  <c r="L10"/>
  <c r="K10"/>
  <c r="J10"/>
  <c r="G10"/>
  <c r="F10"/>
  <c r="E10"/>
  <c r="D10"/>
  <c r="C10"/>
  <c r="Q9"/>
  <c r="N9"/>
  <c r="M9"/>
  <c r="L9"/>
  <c r="K9"/>
  <c r="J9"/>
  <c r="G9"/>
  <c r="F9"/>
  <c r="E9"/>
  <c r="D9"/>
  <c r="C9"/>
  <c r="Q8"/>
  <c r="N8"/>
  <c r="M8"/>
  <c r="L8"/>
  <c r="K8"/>
  <c r="J8"/>
  <c r="G8"/>
  <c r="F8"/>
  <c r="E8"/>
  <c r="D8"/>
  <c r="C8"/>
  <c r="Q7"/>
  <c r="N7"/>
  <c r="M7"/>
  <c r="L7"/>
  <c r="K7"/>
  <c r="J7"/>
  <c r="G7"/>
  <c r="F7"/>
  <c r="E7"/>
  <c r="D7"/>
  <c r="C7"/>
  <c r="Q6"/>
  <c r="N6"/>
  <c r="M6"/>
  <c r="L6"/>
  <c r="K6"/>
  <c r="J6"/>
  <c r="G6"/>
  <c r="F6"/>
  <c r="E6"/>
  <c r="D6"/>
  <c r="C6"/>
  <c r="Q5"/>
  <c r="N5"/>
  <c r="M5"/>
  <c r="L5"/>
  <c r="K5"/>
  <c r="J5"/>
  <c r="G5"/>
  <c r="F5"/>
  <c r="E5"/>
  <c r="D5"/>
  <c r="C5"/>
  <c r="Q36" i="36"/>
  <c r="N36"/>
  <c r="M36"/>
  <c r="L36"/>
  <c r="K36"/>
  <c r="J36"/>
  <c r="G36"/>
  <c r="F36"/>
  <c r="E36"/>
  <c r="D36"/>
  <c r="C36"/>
  <c r="Q36" i="35"/>
  <c r="N36"/>
  <c r="M36"/>
  <c r="L36"/>
  <c r="K36"/>
  <c r="J36"/>
  <c r="G36"/>
  <c r="F36"/>
  <c r="E36"/>
  <c r="D36"/>
  <c r="C36"/>
  <c r="Q36" i="34"/>
  <c r="N36"/>
  <c r="M36"/>
  <c r="L36"/>
  <c r="K36"/>
  <c r="J36"/>
  <c r="G36"/>
  <c r="F36"/>
  <c r="E36"/>
  <c r="D36"/>
  <c r="C36"/>
  <c r="Q36" i="33"/>
  <c r="N36"/>
  <c r="M36"/>
  <c r="L36"/>
  <c r="K36"/>
  <c r="J36"/>
  <c r="G36"/>
  <c r="F36"/>
  <c r="E36"/>
  <c r="D36"/>
  <c r="C36"/>
  <c r="Q36" i="32"/>
  <c r="N36"/>
  <c r="M36"/>
  <c r="L36"/>
  <c r="K36"/>
  <c r="J36"/>
  <c r="G36"/>
  <c r="F36"/>
  <c r="E36"/>
  <c r="D36"/>
  <c r="C36"/>
  <c r="Q36" i="31"/>
  <c r="N36"/>
  <c r="M36"/>
  <c r="L36"/>
  <c r="K36"/>
  <c r="J36"/>
  <c r="G36"/>
  <c r="F36"/>
  <c r="E36"/>
  <c r="D36"/>
  <c r="C36"/>
  <c r="Q36" i="30"/>
  <c r="N36"/>
  <c r="M36"/>
  <c r="L36"/>
  <c r="K36"/>
  <c r="J36"/>
  <c r="G36"/>
  <c r="F36"/>
  <c r="E36"/>
  <c r="D36"/>
  <c r="C36"/>
  <c r="Q36" i="29"/>
  <c r="N36"/>
  <c r="M36"/>
  <c r="L36"/>
  <c r="K36"/>
  <c r="J36"/>
  <c r="G36"/>
  <c r="F36"/>
  <c r="E36"/>
  <c r="D36"/>
  <c r="C36"/>
  <c r="Q36" i="28"/>
  <c r="N36"/>
  <c r="M36"/>
  <c r="L36"/>
  <c r="K36"/>
  <c r="J36"/>
  <c r="G36"/>
  <c r="F36"/>
  <c r="E36"/>
  <c r="D36"/>
  <c r="C36"/>
  <c r="Q36" i="27"/>
  <c r="N36"/>
  <c r="M36"/>
  <c r="L36"/>
  <c r="K36"/>
  <c r="J36"/>
  <c r="G36"/>
  <c r="F36"/>
  <c r="E36"/>
  <c r="D36"/>
  <c r="C36"/>
  <c r="Q36" i="26"/>
  <c r="N36"/>
  <c r="M36"/>
  <c r="L36"/>
  <c r="K36"/>
  <c r="J36"/>
  <c r="G36"/>
  <c r="F36"/>
  <c r="E36"/>
  <c r="D36"/>
  <c r="C36"/>
  <c r="Q38" i="25"/>
  <c r="N38"/>
  <c r="L38"/>
  <c r="K38"/>
  <c r="J38"/>
  <c r="E38"/>
  <c r="D38"/>
  <c r="Q36"/>
  <c r="N36"/>
  <c r="M36"/>
  <c r="M38" s="1"/>
  <c r="K36"/>
  <c r="J36"/>
  <c r="G36"/>
  <c r="G38" s="1"/>
  <c r="F36"/>
  <c r="F38" s="1"/>
  <c r="D36"/>
  <c r="C36"/>
  <c r="C38" s="1"/>
  <c r="N19" i="37" l="1"/>
  <c r="N21" s="1"/>
  <c r="D19"/>
  <c r="D21" s="1"/>
  <c r="J19"/>
  <c r="J21" s="1"/>
  <c r="E19"/>
  <c r="E21" s="1"/>
  <c r="Q19"/>
  <c r="Q21" s="1"/>
  <c r="T21" s="1"/>
  <c r="F19"/>
  <c r="F21" s="1"/>
  <c r="L19"/>
  <c r="L21" s="1"/>
  <c r="K19"/>
  <c r="K21" s="1"/>
  <c r="G19"/>
  <c r="G21" s="1"/>
  <c r="M19"/>
  <c r="M21" s="1"/>
  <c r="I92" i="38"/>
  <c r="I11"/>
  <c r="I91" s="1"/>
  <c r="J5"/>
  <c r="J75"/>
  <c r="I82"/>
  <c r="K32"/>
  <c r="L14"/>
  <c r="J89"/>
  <c r="K85"/>
  <c r="I62"/>
  <c r="J54"/>
  <c r="K41"/>
  <c r="L36"/>
  <c r="H92"/>
  <c r="H93" s="1"/>
  <c r="H94" s="1"/>
  <c r="L65"/>
  <c r="K72"/>
  <c r="M44"/>
  <c r="N44"/>
  <c r="K49"/>
  <c r="K51" s="1"/>
  <c r="L28"/>
  <c r="O21" i="37" l="1"/>
  <c r="C21"/>
  <c r="D24" s="1"/>
  <c r="D25"/>
  <c r="J62" i="38"/>
  <c r="K54"/>
  <c r="L49"/>
  <c r="L51" s="1"/>
  <c r="M28"/>
  <c r="L41"/>
  <c r="M36"/>
  <c r="J11"/>
  <c r="J91" s="1"/>
  <c r="K5"/>
  <c r="L72"/>
  <c r="M65"/>
  <c r="J82"/>
  <c r="K75"/>
  <c r="L32"/>
  <c r="M14"/>
  <c r="K89"/>
  <c r="L85"/>
  <c r="I93"/>
  <c r="I94" s="1"/>
  <c r="H21" i="37" l="1"/>
  <c r="L18" i="23"/>
  <c r="L21"/>
  <c r="L17"/>
  <c r="L13"/>
  <c r="K18"/>
  <c r="K21"/>
  <c r="F24" i="37"/>
  <c r="K17" i="23"/>
  <c r="K13"/>
  <c r="J92" i="38"/>
  <c r="J93" s="1"/>
  <c r="J94" s="1"/>
  <c r="M72"/>
  <c r="N72" s="1"/>
  <c r="N65"/>
  <c r="L89"/>
  <c r="M85"/>
  <c r="M32"/>
  <c r="N14"/>
  <c r="M49"/>
  <c r="N28"/>
  <c r="L75"/>
  <c r="K82"/>
  <c r="K11"/>
  <c r="K91" s="1"/>
  <c r="L5"/>
  <c r="M41"/>
  <c r="N41" s="1"/>
  <c r="N36"/>
  <c r="K62"/>
  <c r="L54"/>
  <c r="N17" i="23" l="1"/>
  <c r="N42" s="1"/>
  <c r="Q17"/>
  <c r="Q42" s="1"/>
  <c r="N27"/>
  <c r="Q27"/>
  <c r="N23"/>
  <c r="Q23"/>
  <c r="N16"/>
  <c r="Q16"/>
  <c r="N13"/>
  <c r="Q13"/>
  <c r="Q41" s="1"/>
  <c r="Q43" s="1"/>
  <c r="N28"/>
  <c r="Q28"/>
  <c r="N18"/>
  <c r="Q18"/>
  <c r="N15"/>
  <c r="Q15"/>
  <c r="N9"/>
  <c r="Q9"/>
  <c r="N8"/>
  <c r="Q8"/>
  <c r="N21"/>
  <c r="Q21"/>
  <c r="N11"/>
  <c r="Q11"/>
  <c r="N10"/>
  <c r="N37" s="1"/>
  <c r="Q10"/>
  <c r="Q37" s="1"/>
  <c r="N25"/>
  <c r="Q25"/>
  <c r="N24"/>
  <c r="Q24"/>
  <c r="N22"/>
  <c r="Q22"/>
  <c r="N14"/>
  <c r="Q14"/>
  <c r="N12"/>
  <c r="Q12"/>
  <c r="M25"/>
  <c r="P25"/>
  <c r="M21"/>
  <c r="P21"/>
  <c r="M14"/>
  <c r="P14"/>
  <c r="M15"/>
  <c r="P15"/>
  <c r="M17"/>
  <c r="M42" s="1"/>
  <c r="P17"/>
  <c r="P42" s="1"/>
  <c r="M10"/>
  <c r="P10"/>
  <c r="P37" s="1"/>
  <c r="M11"/>
  <c r="P11"/>
  <c r="M18"/>
  <c r="P18"/>
  <c r="M24"/>
  <c r="P24"/>
  <c r="M12"/>
  <c r="P12"/>
  <c r="M13"/>
  <c r="P13"/>
  <c r="P41" s="1"/>
  <c r="P43" s="1"/>
  <c r="M23"/>
  <c r="P23"/>
  <c r="M28"/>
  <c r="P28"/>
  <c r="M27"/>
  <c r="P27"/>
  <c r="M16"/>
  <c r="P16"/>
  <c r="M22"/>
  <c r="P22"/>
  <c r="M75" i="38"/>
  <c r="L82"/>
  <c r="L62"/>
  <c r="L92" s="1"/>
  <c r="M54"/>
  <c r="L11"/>
  <c r="L91" s="1"/>
  <c r="M5"/>
  <c r="N32"/>
  <c r="K92"/>
  <c r="K93" s="1"/>
  <c r="K94" s="1"/>
  <c r="N49"/>
  <c r="M51"/>
  <c r="N51" s="1"/>
  <c r="M89"/>
  <c r="N89" s="1"/>
  <c r="N85"/>
  <c r="Q38" i="23" l="1"/>
  <c r="Q39" s="1"/>
  <c r="Q45"/>
  <c r="P38"/>
  <c r="P39" s="1"/>
  <c r="P45" s="1"/>
  <c r="M41"/>
  <c r="M43" s="1"/>
  <c r="N38"/>
  <c r="M38"/>
  <c r="M37"/>
  <c r="N41"/>
  <c r="N43" s="1"/>
  <c r="N39"/>
  <c r="P32"/>
  <c r="C7" i="40" s="1"/>
  <c r="J28" s="1"/>
  <c r="Q32" i="23"/>
  <c r="C7" i="41" s="1"/>
  <c r="J28" s="1"/>
  <c r="Q29" i="23"/>
  <c r="N29"/>
  <c r="P29"/>
  <c r="M29"/>
  <c r="M11" i="38"/>
  <c r="M91" s="1"/>
  <c r="N5"/>
  <c r="N11" s="1"/>
  <c r="M62"/>
  <c r="N62" s="1"/>
  <c r="N54"/>
  <c r="M92"/>
  <c r="N92" s="1"/>
  <c r="L93"/>
  <c r="L94" s="1"/>
  <c r="M82"/>
  <c r="N82" s="1"/>
  <c r="N75"/>
  <c r="P46" i="23" l="1"/>
  <c r="C7" i="39"/>
  <c r="Q46" i="23"/>
  <c r="C7" i="1"/>
  <c r="J28" i="39"/>
  <c r="M39" i="23"/>
  <c r="M45" s="1"/>
  <c r="M46" s="1"/>
  <c r="J27" i="40"/>
  <c r="M27" s="1"/>
  <c r="K11" s="1"/>
  <c r="J26"/>
  <c r="N45" i="23"/>
  <c r="J27" i="41"/>
  <c r="M27" s="1"/>
  <c r="K11" s="1"/>
  <c r="J26"/>
  <c r="J27" i="39"/>
  <c r="M27" s="1"/>
  <c r="K11" s="1"/>
  <c r="J26"/>
  <c r="M93" i="38"/>
  <c r="M94" s="1"/>
  <c r="N91"/>
  <c r="N93" s="1"/>
  <c r="N94" s="1"/>
  <c r="N46" i="23" l="1"/>
  <c r="L38" i="9"/>
  <c r="M38" s="1"/>
  <c r="M11" i="40"/>
  <c r="I11"/>
  <c r="M11" i="41"/>
  <c r="I11"/>
  <c r="I11" i="39"/>
  <c r="M11"/>
  <c r="A1" i="8"/>
  <c r="AT52" i="6"/>
  <c r="AS52"/>
  <c r="AR52"/>
  <c r="AQ52"/>
  <c r="AK52"/>
  <c r="AJ52"/>
  <c r="AI52"/>
  <c r="AH52"/>
  <c r="AG52"/>
  <c r="AD52"/>
  <c r="M52"/>
  <c r="L52"/>
  <c r="K52"/>
  <c r="J52"/>
  <c r="I52"/>
  <c r="H52"/>
  <c r="G52"/>
  <c r="F52"/>
  <c r="E52"/>
  <c r="D52"/>
  <c r="C52"/>
  <c r="B52"/>
  <c r="AU49"/>
  <c r="S49" s="1"/>
  <c r="AL49"/>
  <c r="Q49" s="1"/>
  <c r="N49"/>
  <c r="P49" s="1"/>
  <c r="AU47"/>
  <c r="S47" s="1"/>
  <c r="AL47"/>
  <c r="N47"/>
  <c r="P47" s="1"/>
  <c r="AU46"/>
  <c r="S46" s="1"/>
  <c r="AL46"/>
  <c r="N46"/>
  <c r="P46" s="1"/>
  <c r="Q46" s="1"/>
  <c r="AU45"/>
  <c r="S45" s="1"/>
  <c r="AL45"/>
  <c r="N45"/>
  <c r="P45" s="1"/>
  <c r="Q45" s="1"/>
  <c r="AU44"/>
  <c r="S44" s="1"/>
  <c r="N44"/>
  <c r="P44" s="1"/>
  <c r="Q44" s="1"/>
  <c r="AU43"/>
  <c r="S43" s="1"/>
  <c r="AL43"/>
  <c r="N43"/>
  <c r="P43" s="1"/>
  <c r="Q43" s="1"/>
  <c r="AU42"/>
  <c r="S42" s="1"/>
  <c r="AL42"/>
  <c r="N42"/>
  <c r="P42" s="1"/>
  <c r="AU41"/>
  <c r="AL41"/>
  <c r="N41"/>
  <c r="P41" s="1"/>
  <c r="Q41" s="1"/>
  <c r="AU40"/>
  <c r="AL40"/>
  <c r="N40"/>
  <c r="P40" s="1"/>
  <c r="Q40" s="1"/>
  <c r="AU39"/>
  <c r="S39" s="1"/>
  <c r="N39"/>
  <c r="P39" s="1"/>
  <c r="Q39" s="1"/>
  <c r="AU38"/>
  <c r="S38" s="1"/>
  <c r="N38"/>
  <c r="P38" s="1"/>
  <c r="Q38" s="1"/>
  <c r="AU37"/>
  <c r="S37" s="1"/>
  <c r="N37"/>
  <c r="P37" s="1"/>
  <c r="Q37" s="1"/>
  <c r="AU36"/>
  <c r="N36"/>
  <c r="AU35"/>
  <c r="S35" s="1"/>
  <c r="AL35"/>
  <c r="N35"/>
  <c r="P35" s="1"/>
  <c r="Q35" s="1"/>
  <c r="AU34"/>
  <c r="S34" s="1"/>
  <c r="AL34"/>
  <c r="N34"/>
  <c r="P34" s="1"/>
  <c r="Q34" s="1"/>
  <c r="AU33"/>
  <c r="S33" s="1"/>
  <c r="AL33"/>
  <c r="N33"/>
  <c r="P33" s="1"/>
  <c r="AU32"/>
  <c r="S32" s="1"/>
  <c r="AL32"/>
  <c r="N32"/>
  <c r="P32" s="1"/>
  <c r="Q32" s="1"/>
  <c r="E34" i="9" s="1"/>
  <c r="AN52" i="6"/>
  <c r="AL31"/>
  <c r="N31"/>
  <c r="P31" s="1"/>
  <c r="AU30"/>
  <c r="S30" s="1"/>
  <c r="AL30"/>
  <c r="N30"/>
  <c r="P30" s="1"/>
  <c r="Q30" s="1"/>
  <c r="AU29"/>
  <c r="S29" s="1"/>
  <c r="AL29"/>
  <c r="N29"/>
  <c r="AU28"/>
  <c r="S28" s="1"/>
  <c r="AL28"/>
  <c r="N28"/>
  <c r="P28" s="1"/>
  <c r="Q28" s="1"/>
  <c r="E30" i="9" s="1"/>
  <c r="AU27" i="6"/>
  <c r="S27" s="1"/>
  <c r="AL27"/>
  <c r="N27"/>
  <c r="P27" s="1"/>
  <c r="Q27" s="1"/>
  <c r="E29" i="9" s="1"/>
  <c r="AU26" i="6"/>
  <c r="S26" s="1"/>
  <c r="AL26"/>
  <c r="N26"/>
  <c r="P26" s="1"/>
  <c r="AU25"/>
  <c r="S25" s="1"/>
  <c r="AL25"/>
  <c r="N25"/>
  <c r="P25" s="1"/>
  <c r="Q25" s="1"/>
  <c r="AU24"/>
  <c r="S24" s="1"/>
  <c r="AL24"/>
  <c r="N24"/>
  <c r="P24" s="1"/>
  <c r="Q24" s="1"/>
  <c r="AU23"/>
  <c r="S23" s="1"/>
  <c r="AL23"/>
  <c r="N23"/>
  <c r="P23" s="1"/>
  <c r="AL22"/>
  <c r="N22"/>
  <c r="P22" s="1"/>
  <c r="Q22" s="1"/>
  <c r="AP52"/>
  <c r="AL21"/>
  <c r="N21"/>
  <c r="P21" s="1"/>
  <c r="AT18"/>
  <c r="AS18"/>
  <c r="AS54" s="1"/>
  <c r="AR18"/>
  <c r="AQ18"/>
  <c r="AO18"/>
  <c r="AN18"/>
  <c r="AK18"/>
  <c r="AJ18"/>
  <c r="AI18"/>
  <c r="AI54" s="1"/>
  <c r="AH18"/>
  <c r="AE18"/>
  <c r="AC18"/>
  <c r="M18"/>
  <c r="L18"/>
  <c r="L54" s="1"/>
  <c r="K18"/>
  <c r="J18"/>
  <c r="I18"/>
  <c r="H18"/>
  <c r="H54" s="1"/>
  <c r="G18"/>
  <c r="F18"/>
  <c r="E18"/>
  <c r="D18"/>
  <c r="D54" s="1"/>
  <c r="C18"/>
  <c r="B18"/>
  <c r="AU16"/>
  <c r="S16" s="1"/>
  <c r="N16"/>
  <c r="P16" s="1"/>
  <c r="D14" i="9" s="1"/>
  <c r="AU15" i="6"/>
  <c r="S15" s="1"/>
  <c r="AL15"/>
  <c r="Q15" s="1"/>
  <c r="N15"/>
  <c r="P15" s="1"/>
  <c r="D13" i="9" s="1"/>
  <c r="F13" s="1"/>
  <c r="AU14" i="6"/>
  <c r="S14" s="1"/>
  <c r="AL14"/>
  <c r="Q14" s="1"/>
  <c r="N14"/>
  <c r="P14" s="1"/>
  <c r="D12" i="9" s="1"/>
  <c r="AU13" i="6"/>
  <c r="AL13"/>
  <c r="E11" i="8" s="1"/>
  <c r="N13" i="6"/>
  <c r="P13" s="1"/>
  <c r="D11" i="9" s="1"/>
  <c r="F11" s="1"/>
  <c r="AU12" i="6"/>
  <c r="S12" s="1"/>
  <c r="AL12"/>
  <c r="E10" i="8" s="1"/>
  <c r="N12" i="6"/>
  <c r="P12" s="1"/>
  <c r="D10" i="9" s="1"/>
  <c r="AU11" i="6"/>
  <c r="S11" s="1"/>
  <c r="N11"/>
  <c r="P11" s="1"/>
  <c r="D9" i="9" s="1"/>
  <c r="AU9" i="6"/>
  <c r="S9" s="1"/>
  <c r="AL9"/>
  <c r="E7" i="8" s="1"/>
  <c r="N9" i="6"/>
  <c r="P9" s="1"/>
  <c r="D7" i="8" s="1"/>
  <c r="F7" s="1"/>
  <c r="AC3" i="6"/>
  <c r="AN3" s="1"/>
  <c r="AN1"/>
  <c r="E32" i="9" l="1"/>
  <c r="E32" i="8"/>
  <c r="E36"/>
  <c r="E36" i="9"/>
  <c r="E39"/>
  <c r="E39" i="8"/>
  <c r="E41" i="9"/>
  <c r="E41" i="8"/>
  <c r="E50" i="9"/>
  <c r="E50" i="8"/>
  <c r="H7"/>
  <c r="O7" s="1"/>
  <c r="Q7" s="1"/>
  <c r="E12"/>
  <c r="E12" i="9"/>
  <c r="F12" s="1"/>
  <c r="F16" s="1"/>
  <c r="D21" i="8"/>
  <c r="D21" i="9"/>
  <c r="Q23" i="6"/>
  <c r="R23" s="1"/>
  <c r="T23" s="1"/>
  <c r="E52" i="9"/>
  <c r="E52" i="8"/>
  <c r="H13" i="9"/>
  <c r="E20"/>
  <c r="E20" i="8"/>
  <c r="E25" i="9"/>
  <c r="E25" i="8"/>
  <c r="P29" i="6"/>
  <c r="Q29" s="1"/>
  <c r="R29" s="1"/>
  <c r="N57"/>
  <c r="D35" i="8"/>
  <c r="D35" i="9"/>
  <c r="Q33" i="6"/>
  <c r="R33" s="1"/>
  <c r="T33" s="1"/>
  <c r="E44" i="9"/>
  <c r="E44" i="8"/>
  <c r="H11" i="9"/>
  <c r="D33"/>
  <c r="D33" i="8"/>
  <c r="E33"/>
  <c r="E33" i="9"/>
  <c r="Q31" i="6"/>
  <c r="R31" s="1"/>
  <c r="E37" i="8"/>
  <c r="E37" i="9"/>
  <c r="E46"/>
  <c r="E46" i="8"/>
  <c r="D16" i="9"/>
  <c r="H12" i="43"/>
  <c r="Q21" i="6"/>
  <c r="R21" s="1"/>
  <c r="E24" i="9"/>
  <c r="E24" i="8"/>
  <c r="E40" i="9"/>
  <c r="E40" i="8"/>
  <c r="E43" i="9"/>
  <c r="E43" i="8"/>
  <c r="E48" i="9"/>
  <c r="E48" i="8"/>
  <c r="D53" i="9"/>
  <c r="D53" i="8"/>
  <c r="Q47" i="6"/>
  <c r="R47" s="1"/>
  <c r="T47" s="1"/>
  <c r="E61" i="9"/>
  <c r="E61" i="8"/>
  <c r="D10"/>
  <c r="F10" s="1"/>
  <c r="R12" i="6"/>
  <c r="D14" i="8"/>
  <c r="D13"/>
  <c r="F13" s="1"/>
  <c r="R15" i="6"/>
  <c r="T15" s="1"/>
  <c r="V15" s="1"/>
  <c r="D9" i="8"/>
  <c r="Q11" i="6"/>
  <c r="D12" i="8"/>
  <c r="R14" i="6"/>
  <c r="T14" s="1"/>
  <c r="V14" s="1"/>
  <c r="B54"/>
  <c r="D11" i="8"/>
  <c r="F11" s="1"/>
  <c r="R13" i="6"/>
  <c r="C54"/>
  <c r="G54"/>
  <c r="K54"/>
  <c r="R25"/>
  <c r="T25" s="1"/>
  <c r="V25" s="1"/>
  <c r="F54"/>
  <c r="J54"/>
  <c r="AR54"/>
  <c r="D34" i="9"/>
  <c r="D34" i="8"/>
  <c r="D40" i="9"/>
  <c r="F40" s="1"/>
  <c r="H40" s="1"/>
  <c r="P40" i="8" s="1"/>
  <c r="D40"/>
  <c r="F40" s="1"/>
  <c r="H40" s="1"/>
  <c r="O40" s="1"/>
  <c r="Q40" s="1"/>
  <c r="D48" i="9"/>
  <c r="D48" i="8"/>
  <c r="AT54" i="6"/>
  <c r="D29" i="9"/>
  <c r="F29" s="1"/>
  <c r="H29" s="1"/>
  <c r="P29" i="8" s="1"/>
  <c r="D29"/>
  <c r="D37" i="9"/>
  <c r="D37" i="8"/>
  <c r="D46" i="9"/>
  <c r="D46" i="8"/>
  <c r="D52" i="9"/>
  <c r="D52" i="8"/>
  <c r="D20" i="9"/>
  <c r="D20" i="8"/>
  <c r="F26" i="9"/>
  <c r="F26" i="8"/>
  <c r="G26" s="1"/>
  <c r="D32" i="9"/>
  <c r="D32" i="8"/>
  <c r="F32" s="1"/>
  <c r="H32" s="1"/>
  <c r="O32" s="1"/>
  <c r="D36" i="9"/>
  <c r="D36" i="8"/>
  <c r="AC37" i="6"/>
  <c r="AL37" s="1"/>
  <c r="R37" s="1"/>
  <c r="T37" s="1"/>
  <c r="V37" s="1"/>
  <c r="D39" i="9"/>
  <c r="D39" i="8"/>
  <c r="F39" s="1"/>
  <c r="H39" s="1"/>
  <c r="O39" s="1"/>
  <c r="AC39" i="6"/>
  <c r="AL39" s="1"/>
  <c r="R39" s="1"/>
  <c r="T39" s="1"/>
  <c r="V39" s="1"/>
  <c r="D41" i="9"/>
  <c r="F41" s="1"/>
  <c r="H41" s="1"/>
  <c r="P41" i="8" s="1"/>
  <c r="D41"/>
  <c r="D45" i="9"/>
  <c r="F45" s="1"/>
  <c r="D45" i="8"/>
  <c r="F45" s="1"/>
  <c r="H45" s="1"/>
  <c r="O45" s="1"/>
  <c r="D50" i="9"/>
  <c r="D50" i="8"/>
  <c r="F50" s="1"/>
  <c r="H50" s="1"/>
  <c r="O50" s="1"/>
  <c r="D24" i="9"/>
  <c r="D24" i="8"/>
  <c r="D30" i="9"/>
  <c r="F30" s="1"/>
  <c r="H30" s="1"/>
  <c r="P30" i="8" s="1"/>
  <c r="D30"/>
  <c r="D43" i="9"/>
  <c r="D43" i="8"/>
  <c r="AK54" i="6"/>
  <c r="D25" i="9"/>
  <c r="D25" i="8"/>
  <c r="D61"/>
  <c r="D61" i="9"/>
  <c r="F61" s="1"/>
  <c r="H61" s="1"/>
  <c r="P61" i="8" s="1"/>
  <c r="R28" i="6"/>
  <c r="T28" s="1"/>
  <c r="R30" i="8" s="1"/>
  <c r="R46" i="6"/>
  <c r="T46" s="1"/>
  <c r="AN54"/>
  <c r="AP18"/>
  <c r="AP54" s="1"/>
  <c r="T12"/>
  <c r="AQ54"/>
  <c r="R24"/>
  <c r="T24" s="1"/>
  <c r="AU31"/>
  <c r="S31" s="1"/>
  <c r="R42"/>
  <c r="T42" s="1"/>
  <c r="AH54"/>
  <c r="R27"/>
  <c r="R34"/>
  <c r="T34" s="1"/>
  <c r="V34" s="1"/>
  <c r="R40"/>
  <c r="E54"/>
  <c r="I54"/>
  <c r="M54"/>
  <c r="R26"/>
  <c r="T26" s="1"/>
  <c r="AU18"/>
  <c r="R41"/>
  <c r="R49"/>
  <c r="T49" s="1"/>
  <c r="V49" s="1"/>
  <c r="X49" s="1"/>
  <c r="AA49" s="1"/>
  <c r="R22"/>
  <c r="R32"/>
  <c r="S18"/>
  <c r="AJ54"/>
  <c r="R30"/>
  <c r="T30" s="1"/>
  <c r="V30" s="1"/>
  <c r="R45"/>
  <c r="T45" s="1"/>
  <c r="N52"/>
  <c r="T13"/>
  <c r="AD16"/>
  <c r="AL36"/>
  <c r="R43"/>
  <c r="T43" s="1"/>
  <c r="P18"/>
  <c r="R9"/>
  <c r="AU22"/>
  <c r="S22" s="1"/>
  <c r="AO52"/>
  <c r="AO54" s="1"/>
  <c r="N18"/>
  <c r="U13"/>
  <c r="AU21"/>
  <c r="R35"/>
  <c r="T35" s="1"/>
  <c r="V35" s="1"/>
  <c r="AL38"/>
  <c r="R38" s="1"/>
  <c r="T38" s="1"/>
  <c r="V38" s="1"/>
  <c r="F39" i="9" l="1"/>
  <c r="H39" s="1"/>
  <c r="P39" i="8" s="1"/>
  <c r="Q39" s="1"/>
  <c r="F20"/>
  <c r="H20" s="1"/>
  <c r="O20" s="1"/>
  <c r="V33" i="6"/>
  <c r="R35" i="8"/>
  <c r="T29" i="6"/>
  <c r="D31" i="8"/>
  <c r="F31" s="1"/>
  <c r="D31" i="9"/>
  <c r="V23" i="6"/>
  <c r="R21" i="8"/>
  <c r="D44" i="9"/>
  <c r="F44" s="1"/>
  <c r="G44" s="1"/>
  <c r="H44" s="1"/>
  <c r="P44" i="8" s="1"/>
  <c r="D44"/>
  <c r="F20" i="9"/>
  <c r="H20" s="1"/>
  <c r="P20" i="8" s="1"/>
  <c r="Q20" s="1"/>
  <c r="M11" i="9"/>
  <c r="P11" i="8"/>
  <c r="M13" i="9"/>
  <c r="P13" i="8"/>
  <c r="V43" i="6"/>
  <c r="R46" i="8"/>
  <c r="V26" i="6"/>
  <c r="X26" s="1"/>
  <c r="AA26" s="1"/>
  <c r="R26" i="8"/>
  <c r="V42" i="6"/>
  <c r="X42" s="1"/>
  <c r="AA42" s="1"/>
  <c r="R45" i="8"/>
  <c r="V46" i="6"/>
  <c r="X46" s="1"/>
  <c r="AA46" s="1"/>
  <c r="R52" i="8"/>
  <c r="V47" i="6"/>
  <c r="R53" i="8"/>
  <c r="V24" i="6"/>
  <c r="X24" s="1"/>
  <c r="AA24" s="1"/>
  <c r="R24" i="8"/>
  <c r="V45" i="6"/>
  <c r="R50" i="8"/>
  <c r="F50" i="9"/>
  <c r="H50" s="1"/>
  <c r="P50" i="8" s="1"/>
  <c r="Q50" s="1"/>
  <c r="F32" i="9"/>
  <c r="H32" s="1"/>
  <c r="P32" i="8" s="1"/>
  <c r="Q32" s="1"/>
  <c r="F43" i="9"/>
  <c r="F24"/>
  <c r="H24" s="1"/>
  <c r="P24" i="8" s="1"/>
  <c r="F52" i="9"/>
  <c r="H52" s="1"/>
  <c r="P52" i="8" s="1"/>
  <c r="X38" i="6"/>
  <c r="AA38" s="1"/>
  <c r="X23"/>
  <c r="AA23" s="1"/>
  <c r="X39"/>
  <c r="AA39" s="1"/>
  <c r="X47"/>
  <c r="AA47" s="1"/>
  <c r="X30"/>
  <c r="AA30" s="1"/>
  <c r="X37"/>
  <c r="AA37" s="1"/>
  <c r="X35"/>
  <c r="AA35" s="1"/>
  <c r="X43"/>
  <c r="AA43" s="1"/>
  <c r="F33" i="8"/>
  <c r="G33" s="1"/>
  <c r="H33" s="1"/>
  <c r="O33" s="1"/>
  <c r="X45" i="6"/>
  <c r="AA45" s="1"/>
  <c r="X33"/>
  <c r="AA33" s="1"/>
  <c r="X34"/>
  <c r="AA34" s="1"/>
  <c r="X25"/>
  <c r="AA25" s="1"/>
  <c r="F33" i="9"/>
  <c r="G33" s="1"/>
  <c r="H33" s="1"/>
  <c r="P33" i="8" s="1"/>
  <c r="F12"/>
  <c r="H12" s="1"/>
  <c r="M12" s="1"/>
  <c r="F46" i="9"/>
  <c r="H46" s="1"/>
  <c r="P46" i="8" s="1"/>
  <c r="F36" i="9"/>
  <c r="H36" s="1"/>
  <c r="P36" i="8" s="1"/>
  <c r="F37" i="9"/>
  <c r="H37" s="1"/>
  <c r="P37" i="8" s="1"/>
  <c r="F36"/>
  <c r="H36" s="1"/>
  <c r="O36" s="1"/>
  <c r="F52"/>
  <c r="H52" s="1"/>
  <c r="O52" s="1"/>
  <c r="F37"/>
  <c r="H37" s="1"/>
  <c r="O37" s="1"/>
  <c r="F61"/>
  <c r="H61" s="1"/>
  <c r="O61" s="1"/>
  <c r="Q61" s="1"/>
  <c r="F44"/>
  <c r="F25"/>
  <c r="H25" s="1"/>
  <c r="O25" s="1"/>
  <c r="G43" i="9"/>
  <c r="H16"/>
  <c r="H43"/>
  <c r="P43" i="8" s="1"/>
  <c r="G45" i="9"/>
  <c r="H45" s="1"/>
  <c r="P45" i="8" s="1"/>
  <c r="Q45" s="1"/>
  <c r="S45" s="1"/>
  <c r="G26" i="9"/>
  <c r="H26" s="1"/>
  <c r="H11" i="8"/>
  <c r="R11" i="6"/>
  <c r="E9" i="9"/>
  <c r="F25"/>
  <c r="H25" s="1"/>
  <c r="P25" i="8" s="1"/>
  <c r="F41"/>
  <c r="H41" s="1"/>
  <c r="O41" s="1"/>
  <c r="Q41" s="1"/>
  <c r="F46"/>
  <c r="H46" s="1"/>
  <c r="O46" s="1"/>
  <c r="Q46" s="1"/>
  <c r="E53"/>
  <c r="F53" s="1"/>
  <c r="E53" i="9"/>
  <c r="F53" s="1"/>
  <c r="J10" i="43"/>
  <c r="H13"/>
  <c r="J8"/>
  <c r="J9"/>
  <c r="T32" i="6"/>
  <c r="F34" i="8"/>
  <c r="E34" s="1"/>
  <c r="F34" i="9"/>
  <c r="H34" s="1"/>
  <c r="P34" i="8" s="1"/>
  <c r="E35" i="9"/>
  <c r="F35" s="1"/>
  <c r="E35" i="8"/>
  <c r="F35" s="1"/>
  <c r="F31" i="9"/>
  <c r="H10" i="8"/>
  <c r="M10" s="1"/>
  <c r="H12" i="9"/>
  <c r="T27" i="6"/>
  <c r="V27" s="1"/>
  <c r="E29" i="8"/>
  <c r="F29" s="1"/>
  <c r="H29" s="1"/>
  <c r="O29" s="1"/>
  <c r="Q29" s="1"/>
  <c r="V28" i="6"/>
  <c r="E30" i="8"/>
  <c r="F30" s="1"/>
  <c r="H30" s="1"/>
  <c r="O30" s="1"/>
  <c r="Q30" s="1"/>
  <c r="F43"/>
  <c r="F24"/>
  <c r="H24" s="1"/>
  <c r="O24" s="1"/>
  <c r="Q24" s="1"/>
  <c r="H26"/>
  <c r="H13"/>
  <c r="M13" s="1"/>
  <c r="E21" i="9"/>
  <c r="F21" s="1"/>
  <c r="E21" i="8"/>
  <c r="F21" s="1"/>
  <c r="D16"/>
  <c r="D38" i="9"/>
  <c r="D38" i="8"/>
  <c r="E38" s="1"/>
  <c r="F48" i="9"/>
  <c r="H48" s="1"/>
  <c r="P48" i="8" s="1"/>
  <c r="T31" i="6"/>
  <c r="N54"/>
  <c r="P52"/>
  <c r="R36"/>
  <c r="F19" i="9"/>
  <c r="T22" i="6"/>
  <c r="V22" s="1"/>
  <c r="V13"/>
  <c r="AC52"/>
  <c r="AC54" s="1"/>
  <c r="AL11"/>
  <c r="AG18"/>
  <c r="AG54" s="1"/>
  <c r="T9"/>
  <c r="AU52"/>
  <c r="AU54" s="1"/>
  <c r="AD18"/>
  <c r="AD54" s="1"/>
  <c r="AL16"/>
  <c r="V12"/>
  <c r="S50" i="8" l="1"/>
  <c r="O11"/>
  <c r="Q11" s="1"/>
  <c r="M11"/>
  <c r="Q36"/>
  <c r="O10"/>
  <c r="Q10" s="1"/>
  <c r="P26"/>
  <c r="G31" i="9"/>
  <c r="H31" s="1"/>
  <c r="P31" i="8" s="1"/>
  <c r="S24"/>
  <c r="S21" i="6"/>
  <c r="V29"/>
  <c r="X29" s="1"/>
  <c r="AA29" s="1"/>
  <c r="R31" i="8"/>
  <c r="V31" i="6"/>
  <c r="R33" i="8"/>
  <c r="C5" i="41"/>
  <c r="I7" s="1"/>
  <c r="S8" s="1"/>
  <c r="T8" s="1"/>
  <c r="U8" s="1"/>
  <c r="W8" s="1"/>
  <c r="X8" s="1"/>
  <c r="Y8" s="1"/>
  <c r="Z8" s="1"/>
  <c r="AB8" s="1"/>
  <c r="AC8" s="1"/>
  <c r="AD8" s="1"/>
  <c r="P16" i="8"/>
  <c r="O12"/>
  <c r="S36" i="6"/>
  <c r="T36" s="1"/>
  <c r="V36" s="1"/>
  <c r="X36" s="1"/>
  <c r="AA36" s="1"/>
  <c r="S46" i="8"/>
  <c r="Q37"/>
  <c r="G31"/>
  <c r="O26"/>
  <c r="O13"/>
  <c r="Q13" s="1"/>
  <c r="M12" i="9"/>
  <c r="P12" i="8"/>
  <c r="V32" i="6"/>
  <c r="X32" s="1"/>
  <c r="AA32" s="1"/>
  <c r="R34" i="8"/>
  <c r="Q33"/>
  <c r="Q25"/>
  <c r="Q52"/>
  <c r="S52" s="1"/>
  <c r="S30"/>
  <c r="X28" i="6"/>
  <c r="AA28" s="1"/>
  <c r="X31"/>
  <c r="AA31" s="1"/>
  <c r="X27"/>
  <c r="AA27" s="1"/>
  <c r="X22"/>
  <c r="AA22" s="1"/>
  <c r="H34" i="8"/>
  <c r="O34" s="1"/>
  <c r="Q34" s="1"/>
  <c r="H31"/>
  <c r="O31" s="1"/>
  <c r="G35"/>
  <c r="H35" s="1"/>
  <c r="O35" s="1"/>
  <c r="G35" i="9"/>
  <c r="H35" s="1"/>
  <c r="P35" i="8" s="1"/>
  <c r="G53" i="9"/>
  <c r="H53" s="1"/>
  <c r="P53" i="8" s="1"/>
  <c r="E38" i="9"/>
  <c r="E67" s="1"/>
  <c r="G21" i="8"/>
  <c r="G21" i="9"/>
  <c r="N11" i="43"/>
  <c r="J11"/>
  <c r="G53" i="8"/>
  <c r="H53" s="1"/>
  <c r="O53" s="1"/>
  <c r="P54" i="6"/>
  <c r="D67" i="9"/>
  <c r="H19"/>
  <c r="T11" i="6"/>
  <c r="E9" i="8"/>
  <c r="F48"/>
  <c r="H48" s="1"/>
  <c r="O48" s="1"/>
  <c r="Q48" s="1"/>
  <c r="T21" i="6"/>
  <c r="Q16"/>
  <c r="R16" s="1"/>
  <c r="AL18"/>
  <c r="S33" i="8" l="1"/>
  <c r="Q53"/>
  <c r="S53" s="1"/>
  <c r="S7" i="41"/>
  <c r="T7" s="1"/>
  <c r="U7" s="1"/>
  <c r="W7" s="1"/>
  <c r="X7" s="1"/>
  <c r="Y7" s="1"/>
  <c r="Z7" s="1"/>
  <c r="AB7" s="1"/>
  <c r="AC7" s="1"/>
  <c r="AD7" s="1"/>
  <c r="S34" i="8"/>
  <c r="Q12"/>
  <c r="D19"/>
  <c r="D67" s="1"/>
  <c r="P67" i="9" s="1"/>
  <c r="L19" i="8"/>
  <c r="S9" i="41"/>
  <c r="T9" s="1"/>
  <c r="U9" s="1"/>
  <c r="W9" s="1"/>
  <c r="X9" s="1"/>
  <c r="Y9" s="1"/>
  <c r="Z9" s="1"/>
  <c r="AB9" s="1"/>
  <c r="AC9" s="1"/>
  <c r="AD9" s="1"/>
  <c r="S6"/>
  <c r="T6" s="1"/>
  <c r="U6" s="1"/>
  <c r="W6" s="1"/>
  <c r="X6" s="1"/>
  <c r="Y6" s="1"/>
  <c r="Z6" s="1"/>
  <c r="AB6" s="1"/>
  <c r="AC6" s="1"/>
  <c r="AD6" s="1"/>
  <c r="Q35" i="8"/>
  <c r="S35" s="1"/>
  <c r="R38"/>
  <c r="J19" i="41"/>
  <c r="Q26" i="8"/>
  <c r="S26" s="1"/>
  <c r="V21" i="6"/>
  <c r="X21" s="1"/>
  <c r="R19" i="8"/>
  <c r="Q31"/>
  <c r="S31" s="1"/>
  <c r="F38" i="9"/>
  <c r="H38" s="1"/>
  <c r="P38" i="8" s="1"/>
  <c r="H21"/>
  <c r="O21" s="1"/>
  <c r="G67" i="9"/>
  <c r="F9" i="8"/>
  <c r="F16" s="1"/>
  <c r="H21" i="9"/>
  <c r="P21" i="8" s="1"/>
  <c r="Q56" i="6"/>
  <c r="F38" i="8"/>
  <c r="Q18" i="6"/>
  <c r="Q21" i="8" l="1"/>
  <c r="S21" s="1"/>
  <c r="E19"/>
  <c r="F67" i="9"/>
  <c r="H67"/>
  <c r="F19" i="8"/>
  <c r="G19" s="1"/>
  <c r="E67"/>
  <c r="G44"/>
  <c r="H44" s="1"/>
  <c r="O44" s="1"/>
  <c r="Q44" s="1"/>
  <c r="G43"/>
  <c r="H43" s="1"/>
  <c r="O43" s="1"/>
  <c r="Q43" s="1"/>
  <c r="H9"/>
  <c r="G38"/>
  <c r="T16" i="6"/>
  <c r="R18"/>
  <c r="H16" i="8" l="1"/>
  <c r="O9"/>
  <c r="Q9" s="1"/>
  <c r="C6" i="41"/>
  <c r="I8" s="1"/>
  <c r="K8" s="1"/>
  <c r="P67" i="8"/>
  <c r="H19"/>
  <c r="F67"/>
  <c r="G67"/>
  <c r="S67" i="9" s="1"/>
  <c r="H38" i="8"/>
  <c r="V16" i="6"/>
  <c r="T18"/>
  <c r="O38" i="8" l="1"/>
  <c r="Q38" s="1"/>
  <c r="S38" s="1"/>
  <c r="L38"/>
  <c r="M38" s="1"/>
  <c r="O19"/>
  <c r="Q19" s="1"/>
  <c r="Y21" i="6"/>
  <c r="AA21" s="1"/>
  <c r="AE7" i="41"/>
  <c r="AF7" s="1"/>
  <c r="S19" i="8"/>
  <c r="I76" i="5"/>
  <c r="S41" i="6"/>
  <c r="T41" s="1"/>
  <c r="R16" i="8"/>
  <c r="S40" i="6"/>
  <c r="T40" s="1"/>
  <c r="C5" i="40"/>
  <c r="I7" s="1"/>
  <c r="O16" i="8"/>
  <c r="Q16" s="1"/>
  <c r="S16" s="1"/>
  <c r="I9" i="41"/>
  <c r="I16"/>
  <c r="AE6"/>
  <c r="AF6" s="1"/>
  <c r="AE8"/>
  <c r="AF8" s="1"/>
  <c r="AE9"/>
  <c r="AF9" s="1"/>
  <c r="H67" i="8"/>
  <c r="O67" s="1"/>
  <c r="Q68" s="1"/>
  <c r="AE52" i="6"/>
  <c r="AE54" s="1"/>
  <c r="AL44"/>
  <c r="Q67" i="8" l="1"/>
  <c r="R44"/>
  <c r="S44" s="1"/>
  <c r="V41" i="6"/>
  <c r="S7" i="40"/>
  <c r="T7" s="1"/>
  <c r="U7" s="1"/>
  <c r="W7" s="1"/>
  <c r="X7" s="1"/>
  <c r="Y7" s="1"/>
  <c r="Z7" s="1"/>
  <c r="AB7" s="1"/>
  <c r="AC7" s="1"/>
  <c r="AD7" s="1"/>
  <c r="S6"/>
  <c r="T6" s="1"/>
  <c r="U6" s="1"/>
  <c r="W6" s="1"/>
  <c r="X6" s="1"/>
  <c r="Y6" s="1"/>
  <c r="Z6" s="1"/>
  <c r="AB6" s="1"/>
  <c r="AC6" s="1"/>
  <c r="AD6" s="1"/>
  <c r="J19"/>
  <c r="S8"/>
  <c r="T8" s="1"/>
  <c r="U8" s="1"/>
  <c r="W8" s="1"/>
  <c r="X8" s="1"/>
  <c r="Y8" s="1"/>
  <c r="Z8" s="1"/>
  <c r="AB8" s="1"/>
  <c r="AC8" s="1"/>
  <c r="AD8" s="1"/>
  <c r="S9"/>
  <c r="T9" s="1"/>
  <c r="U9" s="1"/>
  <c r="W9" s="1"/>
  <c r="X9" s="1"/>
  <c r="Y9" s="1"/>
  <c r="Z9" s="1"/>
  <c r="AB9" s="1"/>
  <c r="AC9" s="1"/>
  <c r="AD9" s="1"/>
  <c r="V40" i="6"/>
  <c r="R43" i="8"/>
  <c r="M19"/>
  <c r="C6" i="40"/>
  <c r="I8" s="1"/>
  <c r="AE7" s="1"/>
  <c r="AF7" s="1"/>
  <c r="AL52" i="6"/>
  <c r="AL54" s="1"/>
  <c r="R67" i="8" l="1"/>
  <c r="S43"/>
  <c r="S67" s="1"/>
  <c r="AE8" i="40"/>
  <c r="AF8" s="1"/>
  <c r="AE6"/>
  <c r="AF6" s="1"/>
  <c r="AE9"/>
  <c r="AF9" s="1"/>
  <c r="I9"/>
  <c r="K8"/>
  <c r="I16"/>
  <c r="Q52" i="6"/>
  <c r="Q54" s="1"/>
  <c r="R44"/>
  <c r="T44" l="1"/>
  <c r="R52"/>
  <c r="R54" s="1"/>
  <c r="L65" i="5"/>
  <c r="I65"/>
  <c r="G65"/>
  <c r="L64"/>
  <c r="I64"/>
  <c r="G64"/>
  <c r="L63"/>
  <c r="I63"/>
  <c r="G63"/>
  <c r="L62"/>
  <c r="I62"/>
  <c r="G62"/>
  <c r="L61"/>
  <c r="I61"/>
  <c r="G61"/>
  <c r="L60"/>
  <c r="I60"/>
  <c r="G60"/>
  <c r="L59"/>
  <c r="I59"/>
  <c r="F59"/>
  <c r="G59" s="1"/>
  <c r="L58"/>
  <c r="I58"/>
  <c r="G58"/>
  <c r="L57"/>
  <c r="I57"/>
  <c r="F57"/>
  <c r="G57" s="1"/>
  <c r="L56"/>
  <c r="I56"/>
  <c r="G56"/>
  <c r="L55"/>
  <c r="I55"/>
  <c r="F55"/>
  <c r="G55" s="1"/>
  <c r="L54"/>
  <c r="I54"/>
  <c r="G54"/>
  <c r="L53"/>
  <c r="I53"/>
  <c r="M53" s="1"/>
  <c r="G53"/>
  <c r="L52"/>
  <c r="I52"/>
  <c r="M52" s="1"/>
  <c r="G52"/>
  <c r="L51"/>
  <c r="I51"/>
  <c r="F51"/>
  <c r="G51" s="1"/>
  <c r="G46"/>
  <c r="I46" s="1"/>
  <c r="G45"/>
  <c r="I45" s="1"/>
  <c r="G44"/>
  <c r="I44" s="1"/>
  <c r="G43"/>
  <c r="I43" s="1"/>
  <c r="G42"/>
  <c r="I41"/>
  <c r="I40"/>
  <c r="I36"/>
  <c r="E34"/>
  <c r="F33"/>
  <c r="G33" s="1"/>
  <c r="I33" s="1"/>
  <c r="G27" s="1"/>
  <c r="G27" i="42" s="1"/>
  <c r="G34" s="1"/>
  <c r="G48" s="1"/>
  <c r="F32" i="5"/>
  <c r="G32" s="1"/>
  <c r="F31"/>
  <c r="G31" s="1"/>
  <c r="I31" s="1"/>
  <c r="F30"/>
  <c r="G30" s="1"/>
  <c r="F29"/>
  <c r="G29" s="1"/>
  <c r="F28"/>
  <c r="G28" s="1"/>
  <c r="I28" s="1"/>
  <c r="I25"/>
  <c r="F25"/>
  <c r="G25" s="1"/>
  <c r="I24"/>
  <c r="F24"/>
  <c r="G24" s="1"/>
  <c r="I23"/>
  <c r="F23"/>
  <c r="G23" s="1"/>
  <c r="I22"/>
  <c r="F22"/>
  <c r="G22" s="1"/>
  <c r="I21"/>
  <c r="F21"/>
  <c r="G21" s="1"/>
  <c r="E20"/>
  <c r="I19"/>
  <c r="F19"/>
  <c r="G19" s="1"/>
  <c r="I18"/>
  <c r="F18"/>
  <c r="G18" s="1"/>
  <c r="F17"/>
  <c r="G17" s="1"/>
  <c r="F16"/>
  <c r="G16" s="1"/>
  <c r="I15"/>
  <c r="F15"/>
  <c r="G15" s="1"/>
  <c r="F14"/>
  <c r="G14" s="1"/>
  <c r="I12"/>
  <c r="F12"/>
  <c r="G12" s="1"/>
  <c r="I11"/>
  <c r="F11"/>
  <c r="G11" s="1"/>
  <c r="I10"/>
  <c r="F10"/>
  <c r="G10" s="1"/>
  <c r="I9"/>
  <c r="F9"/>
  <c r="G9" s="1"/>
  <c r="I8"/>
  <c r="F8"/>
  <c r="G8" s="1"/>
  <c r="F7"/>
  <c r="G7" s="1"/>
  <c r="I6"/>
  <c r="F6"/>
  <c r="G6" s="1"/>
  <c r="I27" l="1"/>
  <c r="M56"/>
  <c r="M57"/>
  <c r="M55"/>
  <c r="M65"/>
  <c r="M61"/>
  <c r="I47"/>
  <c r="M51"/>
  <c r="G20"/>
  <c r="M58"/>
  <c r="M54"/>
  <c r="E48"/>
  <c r="G34"/>
  <c r="V44" i="6"/>
  <c r="T52"/>
  <c r="I30" i="5"/>
  <c r="I32"/>
  <c r="I42"/>
  <c r="M64"/>
  <c r="I17"/>
  <c r="M59"/>
  <c r="M63"/>
  <c r="M60"/>
  <c r="I29"/>
  <c r="M62"/>
  <c r="I16"/>
  <c r="G47"/>
  <c r="J28" i="1"/>
  <c r="J44"/>
  <c r="J45"/>
  <c r="J46"/>
  <c r="J43"/>
  <c r="K27"/>
  <c r="I27"/>
  <c r="T54" i="6" l="1"/>
  <c r="R68" i="8"/>
  <c r="S68" s="1"/>
  <c r="H69"/>
  <c r="X44" i="6"/>
  <c r="AA44" s="1"/>
  <c r="I34" i="5"/>
  <c r="I20"/>
  <c r="G48"/>
  <c r="J38" i="1"/>
  <c r="I48" i="5" l="1"/>
  <c r="I75" s="1"/>
  <c r="I77" s="1"/>
  <c r="AA39" i="1" l="1"/>
  <c r="AA34"/>
  <c r="AA29"/>
  <c r="AA24"/>
  <c r="AA19"/>
  <c r="AA14"/>
  <c r="AA38"/>
  <c r="AA33"/>
  <c r="AA28"/>
  <c r="AA23"/>
  <c r="AA18"/>
  <c r="AA13"/>
  <c r="AA37"/>
  <c r="AA32"/>
  <c r="AA27"/>
  <c r="AA22"/>
  <c r="AA17"/>
  <c r="AA12"/>
  <c r="AA36"/>
  <c r="AA31"/>
  <c r="AA26"/>
  <c r="AA21"/>
  <c r="AA16"/>
  <c r="AA11"/>
  <c r="AA9"/>
  <c r="AA8"/>
  <c r="AA7"/>
  <c r="AA6"/>
  <c r="U57"/>
  <c r="U56"/>
  <c r="V39" l="1"/>
  <c r="V34"/>
  <c r="V29"/>
  <c r="V24"/>
  <c r="V19"/>
  <c r="V14"/>
  <c r="V13"/>
  <c r="V37"/>
  <c r="V27"/>
  <c r="V17"/>
  <c r="V12"/>
  <c r="V31"/>
  <c r="V21"/>
  <c r="V11"/>
  <c r="V38"/>
  <c r="V33"/>
  <c r="V28"/>
  <c r="V23"/>
  <c r="V18"/>
  <c r="V32"/>
  <c r="V22"/>
  <c r="V36"/>
  <c r="V26"/>
  <c r="V16"/>
  <c r="V9"/>
  <c r="V7"/>
  <c r="V6"/>
  <c r="V8"/>
  <c r="F8" l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I26"/>
  <c r="J27"/>
  <c r="M27" s="1"/>
  <c r="K11" s="1"/>
  <c r="M11" s="1"/>
  <c r="L27"/>
  <c r="K38"/>
  <c r="J47"/>
  <c r="S59"/>
  <c r="Y68"/>
  <c r="I28" l="1"/>
  <c r="Z68"/>
  <c r="J26"/>
  <c r="I11"/>
  <c r="X40" i="6" l="1"/>
  <c r="U52"/>
  <c r="V52"/>
  <c r="X41"/>
  <c r="S52"/>
  <c r="S54" s="1"/>
  <c r="X52" l="1"/>
  <c r="K45" i="41" l="1"/>
  <c r="K44"/>
  <c r="K46"/>
  <c r="J32" i="42"/>
  <c r="J28"/>
  <c r="J38"/>
  <c r="J37"/>
  <c r="J26"/>
  <c r="J33"/>
  <c r="J40"/>
  <c r="J46"/>
  <c r="J23"/>
  <c r="J41"/>
  <c r="J27"/>
  <c r="J21"/>
  <c r="J44"/>
  <c r="J25"/>
  <c r="J22"/>
  <c r="J24"/>
  <c r="J30"/>
  <c r="J36"/>
  <c r="J35"/>
  <c r="J43"/>
  <c r="J45"/>
  <c r="J29"/>
  <c r="J31"/>
  <c r="K45" i="1"/>
  <c r="K46"/>
  <c r="K44"/>
  <c r="J74" i="42"/>
  <c r="J73"/>
  <c r="M15"/>
  <c r="Y65" i="1"/>
  <c r="L67" i="8"/>
  <c r="L28" i="39"/>
  <c r="T27" i="40"/>
  <c r="T12" i="1"/>
  <c r="AD38"/>
  <c r="K16" i="39"/>
  <c r="Z65" i="41"/>
  <c r="I26" i="42"/>
  <c r="T17" i="40"/>
  <c r="M20" i="41"/>
  <c r="I42" i="42"/>
  <c r="T38" i="39"/>
  <c r="Y67" i="40"/>
  <c r="T37" i="1"/>
  <c r="T39" i="40"/>
  <c r="K14" i="1"/>
  <c r="Z64" i="41"/>
  <c r="M12" i="42"/>
  <c r="T21" i="40"/>
  <c r="I28" i="42"/>
  <c r="T33" i="41"/>
  <c r="I29" i="42"/>
  <c r="T31" i="40"/>
  <c r="L16" i="8"/>
  <c r="T26" i="41"/>
  <c r="T24" i="40"/>
  <c r="J19" i="39"/>
  <c r="J12"/>
  <c r="M12"/>
  <c r="T22" i="1"/>
  <c r="T6" i="39"/>
  <c r="M27" i="5"/>
  <c r="T28" i="39"/>
  <c r="M13" i="42"/>
  <c r="M18" i="5"/>
  <c r="T21" i="39"/>
  <c r="J12" i="40"/>
  <c r="M12"/>
  <c r="K46" i="39"/>
  <c r="K44"/>
  <c r="K45"/>
  <c r="T34" i="40"/>
  <c r="M6" i="42"/>
  <c r="M16" i="1"/>
  <c r="AD38" i="39"/>
  <c r="M45" i="5"/>
  <c r="Y66" i="1"/>
  <c r="T17" i="41"/>
  <c r="L42" i="42"/>
  <c r="T14" i="1"/>
  <c r="I16" i="9"/>
  <c r="AA52" i="6"/>
  <c r="M25" i="42"/>
  <c r="M7" i="5"/>
  <c r="T36" i="1"/>
  <c r="V45"/>
  <c r="J35" i="5"/>
  <c r="J49" i="1"/>
  <c r="K35"/>
  <c r="Z65"/>
  <c r="T39"/>
  <c r="AD28"/>
  <c r="Z64"/>
  <c r="T21"/>
  <c r="K16" i="40"/>
  <c r="M15" i="5"/>
  <c r="M26" i="42"/>
  <c r="Y63" i="39"/>
  <c r="I74" i="42"/>
  <c r="AD36" i="39"/>
  <c r="AD8" i="1"/>
  <c r="M28" i="41"/>
  <c r="Z66" i="40"/>
  <c r="I45" i="42"/>
  <c r="Z52" i="6"/>
  <c r="AA40"/>
  <c r="T26" i="39"/>
  <c r="L15" i="5"/>
  <c r="AI37" i="1"/>
  <c r="T36" i="41"/>
  <c r="I34" i="42"/>
  <c r="I40"/>
  <c r="I33"/>
  <c r="M37"/>
  <c r="T37" i="41"/>
  <c r="T16" i="1"/>
  <c r="T18" i="39"/>
  <c r="AD13"/>
  <c r="AD11"/>
  <c r="M32" i="5"/>
  <c r="T9" i="1"/>
  <c r="M69" i="8"/>
  <c r="M38" i="5"/>
  <c r="Z64" i="39"/>
  <c r="AI37" i="41"/>
  <c r="AD9" i="1"/>
  <c r="M20" i="40"/>
  <c r="I17" i="42"/>
  <c r="AD26" i="1"/>
  <c r="L32" i="5"/>
  <c r="I41" i="42"/>
  <c r="Y63" i="40"/>
  <c r="K14" i="41"/>
  <c r="M27" i="42"/>
  <c r="AD19" i="39"/>
  <c r="X54" i="6"/>
  <c r="V45" i="41"/>
  <c r="M26"/>
  <c r="I30" i="42"/>
  <c r="M44" i="8"/>
  <c r="K47" i="40"/>
  <c r="AI38"/>
  <c r="T8" i="39"/>
  <c r="L45" i="5"/>
  <c r="T32" i="1"/>
  <c r="L27" i="42"/>
  <c r="AI39" i="41"/>
  <c r="AD6" i="39"/>
  <c r="T38" i="40"/>
  <c r="I16" i="1"/>
  <c r="M20"/>
  <c r="AC13" i="39"/>
  <c r="T27" i="41"/>
  <c r="I16" i="39"/>
  <c r="L20" i="42"/>
  <c r="AC26" i="1"/>
  <c r="J20" i="39"/>
  <c r="I44" i="42"/>
  <c r="AI36" i="41"/>
  <c r="T31" i="1"/>
  <c r="K16" i="41"/>
  <c r="I21" i="42"/>
  <c r="Y66" i="39"/>
  <c r="K46" i="40"/>
  <c r="K43"/>
  <c r="K45"/>
  <c r="K44"/>
  <c r="AD28" i="39"/>
  <c r="M10" i="5"/>
  <c r="AD13" i="1"/>
  <c r="L32" i="42"/>
  <c r="M32"/>
  <c r="L28" i="1"/>
  <c r="AC34"/>
  <c r="AD34"/>
  <c r="M17" i="42"/>
  <c r="M26" i="40"/>
  <c r="M28"/>
  <c r="K14"/>
  <c r="J33"/>
  <c r="K12"/>
  <c r="T12" i="41"/>
  <c r="M28" i="42"/>
  <c r="M38"/>
  <c r="Z63" i="41"/>
  <c r="K33" i="40"/>
  <c r="Z63"/>
  <c r="M30" i="5"/>
  <c r="H15" i="42"/>
  <c r="I15"/>
  <c r="AI39" i="39"/>
  <c r="L77" i="42"/>
  <c r="AA54" i="6"/>
  <c r="Z40"/>
  <c r="T22" i="39"/>
  <c r="AI38" i="41"/>
  <c r="I12" i="39"/>
  <c r="L10" i="5"/>
  <c r="K43" i="1"/>
  <c r="K47"/>
  <c r="Z10" i="6"/>
  <c r="T32" i="40"/>
  <c r="Y66" i="41"/>
  <c r="L10" i="42"/>
  <c r="M10"/>
  <c r="AD39" i="1"/>
  <c r="AI36" i="40"/>
  <c r="I14" i="42"/>
  <c r="M37" i="5"/>
  <c r="L76"/>
  <c r="V54" i="6"/>
  <c r="T12" i="39"/>
  <c r="L18" i="5"/>
  <c r="AD36" i="1"/>
  <c r="T11" i="40"/>
  <c r="T24" i="41"/>
  <c r="H13" i="42"/>
  <c r="I13"/>
  <c r="T22" i="41"/>
  <c r="H28" i="42"/>
  <c r="K28"/>
  <c r="L28"/>
  <c r="AD31" i="39"/>
  <c r="H6" i="42"/>
  <c r="I6"/>
  <c r="Y10" i="6"/>
  <c r="L16" i="9"/>
  <c r="AD24" i="1"/>
  <c r="AD17" i="39"/>
  <c r="AD8"/>
  <c r="T29" i="41"/>
  <c r="M31" i="42"/>
  <c r="L25"/>
  <c r="K33" i="41"/>
  <c r="M46" i="42"/>
  <c r="AI39" i="40"/>
  <c r="T33"/>
  <c r="L34" i="42"/>
  <c r="AC28" i="1"/>
  <c r="T32" i="39"/>
  <c r="T39" i="41"/>
  <c r="M11" i="5"/>
  <c r="I27" i="42"/>
  <c r="K27"/>
  <c r="Y66" i="40"/>
  <c r="K9"/>
  <c r="J36"/>
  <c r="K36"/>
  <c r="L42" i="5"/>
  <c r="AD14" i="1"/>
  <c r="M17" i="5"/>
  <c r="J33" i="39"/>
  <c r="K14"/>
  <c r="K12"/>
  <c r="AH36"/>
  <c r="AI36"/>
  <c r="T13" i="41"/>
  <c r="T17" i="39"/>
  <c r="T16" i="40"/>
  <c r="H9" i="42"/>
  <c r="I9"/>
  <c r="AC8" i="39"/>
  <c r="M16" i="42"/>
  <c r="AH37" i="1"/>
  <c r="V45" i="40"/>
  <c r="L31" i="42"/>
  <c r="AD32" i="1"/>
  <c r="AD34" i="39"/>
  <c r="I24" i="42"/>
  <c r="AI38" i="39"/>
  <c r="L46" i="42"/>
  <c r="AG38" i="41"/>
  <c r="AH38"/>
  <c r="AB11" i="39"/>
  <c r="AC11"/>
  <c r="J33" i="41"/>
  <c r="Y63"/>
  <c r="M41" i="42"/>
  <c r="L77" i="5"/>
  <c r="AH36" i="40"/>
  <c r="T7" i="1"/>
  <c r="L26" i="39"/>
  <c r="M69" i="5"/>
  <c r="AH37" i="41"/>
  <c r="AC9" i="1"/>
  <c r="AD7" i="39"/>
  <c r="K25" i="42"/>
  <c r="I25"/>
  <c r="M14"/>
  <c r="I16" i="8"/>
  <c r="Z9" i="1"/>
  <c r="AB9"/>
  <c r="R48" i="39"/>
  <c r="M8" i="42"/>
  <c r="H17"/>
  <c r="L17" i="5"/>
  <c r="AC24" i="1"/>
  <c r="Y9"/>
  <c r="M21" i="5"/>
  <c r="H18" i="42"/>
  <c r="I18"/>
  <c r="J36" i="41"/>
  <c r="K36"/>
  <c r="Z66"/>
  <c r="AI38" i="1"/>
  <c r="AC19" i="39"/>
  <c r="X18" i="6"/>
  <c r="L30" i="5"/>
  <c r="AB34" i="1"/>
  <c r="AB8" i="39"/>
  <c r="L44" i="8"/>
  <c r="J33" i="1"/>
  <c r="Y63"/>
  <c r="L41" i="5"/>
  <c r="M41"/>
  <c r="AD33" i="1"/>
  <c r="AD32" i="39"/>
  <c r="AH38" i="40"/>
  <c r="L12" i="42"/>
  <c r="J10"/>
  <c r="K10"/>
  <c r="AC39" i="1"/>
  <c r="T24"/>
  <c r="L38" i="42"/>
  <c r="AD12" i="39"/>
  <c r="AD9"/>
  <c r="T21" i="41"/>
  <c r="H19" i="42"/>
  <c r="I19"/>
  <c r="AC6" i="39"/>
  <c r="M22" i="42"/>
  <c r="AD17" i="1"/>
  <c r="L7"/>
  <c r="L8"/>
  <c r="AB13" i="39"/>
  <c r="M26" i="5"/>
  <c r="M20" i="39"/>
  <c r="Z11"/>
  <c r="Z64" i="40"/>
  <c r="M23" i="5"/>
  <c r="T18" i="1"/>
  <c r="J21" i="39"/>
  <c r="V45"/>
  <c r="Z67"/>
  <c r="AH36" i="41"/>
  <c r="AD31" i="1"/>
  <c r="M16" i="40"/>
  <c r="T38" i="1"/>
  <c r="I12" i="42"/>
  <c r="T29" i="39"/>
  <c r="T31"/>
  <c r="J12" i="1"/>
  <c r="K12"/>
  <c r="M12"/>
  <c r="J49" i="39"/>
  <c r="Z65"/>
  <c r="Y67" i="41"/>
  <c r="H16" i="42"/>
  <c r="I16"/>
  <c r="T36" i="39"/>
  <c r="Y67"/>
  <c r="K37"/>
  <c r="K33"/>
  <c r="Z63"/>
  <c r="M12" i="41"/>
  <c r="K9"/>
  <c r="K12"/>
  <c r="J12"/>
  <c r="AC6" i="1"/>
  <c r="AD6"/>
  <c r="L44" i="5"/>
  <c r="M44"/>
  <c r="T38" i="41"/>
  <c r="T19" i="40"/>
  <c r="L19" i="42"/>
  <c r="M19"/>
  <c r="L6" i="5"/>
  <c r="M6"/>
  <c r="R49" i="39"/>
  <c r="V43"/>
  <c r="V44"/>
  <c r="R51"/>
  <c r="M70" i="42"/>
  <c r="T18" i="40"/>
  <c r="AB37" i="1"/>
  <c r="AC37"/>
  <c r="AD37"/>
  <c r="M36" i="5"/>
  <c r="M42"/>
  <c r="T22" i="40"/>
  <c r="T31" i="41"/>
  <c r="I36" i="42"/>
  <c r="J9" i="5"/>
  <c r="K9"/>
  <c r="L9"/>
  <c r="M9"/>
  <c r="K16" i="1"/>
  <c r="M8"/>
  <c r="K8"/>
  <c r="J35"/>
  <c r="V18" i="6"/>
  <c r="AC21" i="39"/>
  <c r="AD21"/>
  <c r="AB36" i="1"/>
  <c r="AC36"/>
  <c r="M18" i="42"/>
  <c r="X10" i="6"/>
  <c r="AA10"/>
  <c r="Z31" i="39"/>
  <c r="AB31"/>
  <c r="AC31"/>
  <c r="T16"/>
  <c r="I11" i="42"/>
  <c r="T19" i="39"/>
  <c r="AC17"/>
  <c r="L9" i="42"/>
  <c r="M9"/>
  <c r="J19"/>
  <c r="K19"/>
  <c r="M25" i="5"/>
  <c r="T26" i="1"/>
  <c r="J21" i="41"/>
  <c r="J20"/>
  <c r="M16"/>
  <c r="J37"/>
  <c r="K37"/>
  <c r="Z67"/>
  <c r="R48"/>
  <c r="AD29" i="39"/>
  <c r="K24" i="42"/>
  <c r="L24"/>
  <c r="M24"/>
  <c r="Y64" i="40"/>
  <c r="AD18" i="1"/>
  <c r="AD27"/>
  <c r="T11" i="39"/>
  <c r="X28" i="1"/>
  <c r="Y28"/>
  <c r="Z28"/>
  <c r="AB28"/>
  <c r="T37" i="40"/>
  <c r="M28" i="1"/>
  <c r="L11" i="5"/>
  <c r="H11" i="42"/>
  <c r="Y9" i="6"/>
  <c r="Y18"/>
  <c r="I77" i="42"/>
  <c r="T19" i="41"/>
  <c r="Z67" i="1"/>
  <c r="T17"/>
  <c r="T39" i="39"/>
  <c r="J37"/>
  <c r="T37"/>
  <c r="K32" i="42"/>
  <c r="J32" i="5"/>
  <c r="K32"/>
  <c r="H32" i="42"/>
  <c r="I32"/>
  <c r="T13" i="39"/>
  <c r="AD23"/>
  <c r="J37" i="40"/>
  <c r="K37"/>
  <c r="Z67"/>
  <c r="M33" i="42"/>
  <c r="T23" i="41"/>
  <c r="Z38" i="1"/>
  <c r="AB38"/>
  <c r="AC38"/>
  <c r="AC32"/>
  <c r="K43" i="41"/>
  <c r="K47"/>
  <c r="AC14" i="1"/>
  <c r="H24" i="42"/>
  <c r="K34" i="41"/>
  <c r="K26"/>
  <c r="L26"/>
  <c r="L28"/>
  <c r="AG37" i="1"/>
  <c r="AC23" i="39"/>
  <c r="M29" i="42"/>
  <c r="K29"/>
  <c r="L29"/>
  <c r="K46"/>
  <c r="H46"/>
  <c r="I46"/>
  <c r="AF39" i="40"/>
  <c r="AG39"/>
  <c r="AH39"/>
  <c r="M45" i="42"/>
  <c r="K35" i="39"/>
  <c r="M8"/>
  <c r="M16"/>
  <c r="L36" i="5"/>
  <c r="AD14" i="39"/>
  <c r="T32" i="41"/>
  <c r="L47" i="5"/>
  <c r="L48"/>
  <c r="L75"/>
  <c r="L25"/>
  <c r="J25"/>
  <c r="K25"/>
  <c r="H25" i="42"/>
  <c r="I23"/>
  <c r="T27" i="1"/>
  <c r="AG37" i="41"/>
  <c r="AD26" i="39"/>
  <c r="AC7"/>
  <c r="AI37"/>
  <c r="T16" i="41"/>
  <c r="AB27" i="39"/>
  <c r="AC27"/>
  <c r="AD27"/>
  <c r="L8" i="42"/>
  <c r="AE39" i="40"/>
  <c r="J17" i="5"/>
  <c r="K17"/>
  <c r="AB24" i="1"/>
  <c r="J15" i="5"/>
  <c r="K15"/>
  <c r="H29" i="42"/>
  <c r="L78"/>
  <c r="AC29" i="39"/>
  <c r="R51" i="1"/>
  <c r="AD21"/>
  <c r="T7" i="39"/>
  <c r="I31" i="42"/>
  <c r="H31"/>
  <c r="K31"/>
  <c r="M30"/>
  <c r="Z8" i="39"/>
  <c r="M44" i="9"/>
  <c r="Z27" i="39"/>
  <c r="AC33" i="1"/>
  <c r="Z32" i="39"/>
  <c r="AB32"/>
  <c r="AC32"/>
  <c r="Y23"/>
  <c r="Z23"/>
  <c r="AB23"/>
  <c r="J18" i="5"/>
  <c r="K18"/>
  <c r="L7" i="8"/>
  <c r="J19" i="1"/>
  <c r="J12" i="42"/>
  <c r="K12"/>
  <c r="AD29" i="1"/>
  <c r="Z39"/>
  <c r="AB39"/>
  <c r="AB17" i="39"/>
  <c r="V44" i="1"/>
  <c r="Z14"/>
  <c r="AB14"/>
  <c r="H27" i="42"/>
  <c r="L27" i="5"/>
  <c r="Z29" i="39"/>
  <c r="AB29"/>
  <c r="Z6"/>
  <c r="AB6"/>
  <c r="I73" i="42"/>
  <c r="L8" i="9"/>
  <c r="L22" i="42"/>
  <c r="X9" i="6"/>
  <c r="AA9"/>
  <c r="AA18"/>
  <c r="Z41"/>
  <c r="AA41"/>
  <c r="AD37" i="39"/>
  <c r="AC17" i="1"/>
  <c r="T34" i="39"/>
  <c r="L26" i="5"/>
  <c r="L7" i="39"/>
  <c r="L8"/>
  <c r="W28" i="1"/>
  <c r="Y39"/>
  <c r="AI36"/>
  <c r="L23" i="5"/>
  <c r="AC14" i="39"/>
  <c r="AH39" i="41"/>
  <c r="I12" i="1"/>
  <c r="L15" i="42"/>
  <c r="AG36" i="41"/>
  <c r="AC31" i="1"/>
  <c r="AF38" i="41"/>
  <c r="Y32" i="39"/>
  <c r="Y38" i="1"/>
  <c r="H12" i="42"/>
  <c r="T33" i="1"/>
  <c r="T29"/>
  <c r="Y6" i="39"/>
  <c r="Y29"/>
  <c r="R48" i="40"/>
  <c r="M14" i="39"/>
  <c r="K34"/>
  <c r="K26"/>
  <c r="M26"/>
  <c r="M28"/>
  <c r="R48" i="1"/>
  <c r="R49"/>
  <c r="V43"/>
  <c r="Z28" i="39"/>
  <c r="AB28"/>
  <c r="AC28"/>
  <c r="J46" i="5"/>
  <c r="K46"/>
  <c r="L46"/>
  <c r="M46"/>
  <c r="J10"/>
  <c r="K10"/>
  <c r="H10" i="42"/>
  <c r="I10"/>
  <c r="L22" i="5"/>
  <c r="M22"/>
  <c r="T34" i="41"/>
  <c r="I22" i="42"/>
  <c r="J22" i="5"/>
  <c r="K22"/>
  <c r="H22" i="42"/>
  <c r="K22"/>
  <c r="H14"/>
  <c r="I9" i="8"/>
  <c r="M9"/>
  <c r="K8" i="9"/>
  <c r="K16"/>
  <c r="L28" i="5"/>
  <c r="M28"/>
  <c r="T11" i="41"/>
  <c r="T23" i="39"/>
  <c r="K8"/>
  <c r="J35"/>
  <c r="Y65"/>
  <c r="J31" i="5"/>
  <c r="K31"/>
  <c r="L31"/>
  <c r="M31"/>
  <c r="M23" i="42"/>
  <c r="AD24" i="39"/>
  <c r="J6" i="5"/>
  <c r="K6"/>
  <c r="Y16" i="1"/>
  <c r="Z16"/>
  <c r="AB16"/>
  <c r="AC16"/>
  <c r="AD16"/>
  <c r="Y18"/>
  <c r="Z18"/>
  <c r="AB18"/>
  <c r="AC18"/>
  <c r="AE37" i="41"/>
  <c r="AF37"/>
  <c r="AG37" i="39"/>
  <c r="AH37"/>
  <c r="U34"/>
  <c r="W34"/>
  <c r="X34"/>
  <c r="Y34"/>
  <c r="Z34"/>
  <c r="AB34"/>
  <c r="AC34"/>
  <c r="Z38"/>
  <c r="AB38"/>
  <c r="AC38"/>
  <c r="J9" i="42"/>
  <c r="K9"/>
  <c r="J30" i="5"/>
  <c r="K30"/>
  <c r="H30" i="42"/>
  <c r="K30"/>
  <c r="L30"/>
  <c r="T28" i="1"/>
  <c r="S28"/>
  <c r="U28"/>
  <c r="X31" i="39"/>
  <c r="Y31"/>
  <c r="J36" i="5"/>
  <c r="K36"/>
  <c r="H36" i="42"/>
  <c r="K36"/>
  <c r="L36"/>
  <c r="M36"/>
  <c r="M42"/>
  <c r="T8" i="1"/>
  <c r="AE37" i="39"/>
  <c r="AF37"/>
  <c r="X31" i="1"/>
  <c r="Y31"/>
  <c r="Z31"/>
  <c r="AB31"/>
  <c r="AE23"/>
  <c r="AF23"/>
  <c r="AG23"/>
  <c r="AH23"/>
  <c r="AI23"/>
  <c r="S6" i="39"/>
  <c r="U6"/>
  <c r="W6"/>
  <c r="X6"/>
  <c r="V9" i="6"/>
  <c r="K33" i="1"/>
  <c r="Z63"/>
  <c r="L14" i="5"/>
  <c r="M14"/>
  <c r="Y38" i="39"/>
  <c r="AC21" i="1"/>
  <c r="K38" i="42"/>
  <c r="AA11" i="6"/>
  <c r="I38" i="42"/>
  <c r="T24" i="39"/>
  <c r="Y11"/>
  <c r="AD16"/>
  <c r="AG39" i="41"/>
  <c r="Y14" i="1"/>
  <c r="L16" i="42"/>
  <c r="AB14" i="39"/>
  <c r="L44" i="9"/>
  <c r="AB6" i="1"/>
  <c r="AH36"/>
  <c r="M69" i="42"/>
  <c r="Z54" i="6"/>
  <c r="M73" i="42"/>
  <c r="T13" i="1"/>
  <c r="T28" i="40"/>
  <c r="T29"/>
  <c r="T14" i="41"/>
  <c r="T28"/>
  <c r="Y64"/>
  <c r="AC22" i="39"/>
  <c r="AD22"/>
  <c r="M7"/>
  <c r="M9"/>
  <c r="J34"/>
  <c r="Y64"/>
  <c r="J21" i="1"/>
  <c r="J20"/>
  <c r="J11" i="5"/>
  <c r="K11"/>
  <c r="Y32" i="1"/>
  <c r="Z32"/>
  <c r="AB32"/>
  <c r="AB27"/>
  <c r="AC27"/>
  <c r="X7"/>
  <c r="Y7"/>
  <c r="Z7"/>
  <c r="AB7"/>
  <c r="AC7"/>
  <c r="AD7"/>
  <c r="L37" i="5"/>
  <c r="T23" i="40"/>
  <c r="W27" i="39"/>
  <c r="X27"/>
  <c r="Y27"/>
  <c r="Y37" i="1"/>
  <c r="Z37"/>
  <c r="J27" i="5"/>
  <c r="K27"/>
  <c r="Y37" i="39"/>
  <c r="Z37"/>
  <c r="AB37"/>
  <c r="AC37"/>
  <c r="AC9"/>
  <c r="T19" i="1"/>
  <c r="H37" i="42"/>
  <c r="K37"/>
  <c r="L37"/>
  <c r="Z22" i="39"/>
  <c r="AB22"/>
  <c r="AB26"/>
  <c r="AC26"/>
  <c r="I14" i="40"/>
  <c r="I12"/>
  <c r="U16" i="1"/>
  <c r="W16"/>
  <c r="X16"/>
  <c r="J34" i="40"/>
  <c r="T14"/>
  <c r="M19" i="41"/>
  <c r="M21"/>
  <c r="M70" i="5"/>
  <c r="Z18" i="39"/>
  <c r="AB18"/>
  <c r="AC18"/>
  <c r="AD18"/>
  <c r="T23" i="1"/>
  <c r="T34"/>
  <c r="H74" i="42"/>
  <c r="K74"/>
  <c r="L74"/>
  <c r="M74"/>
  <c r="T33" i="39"/>
  <c r="T11" i="1"/>
  <c r="M40" i="42"/>
  <c r="M26" i="1"/>
  <c r="K34"/>
  <c r="K26"/>
  <c r="L26"/>
  <c r="J35" i="40"/>
  <c r="Y65"/>
  <c r="T9" i="39"/>
  <c r="J13" i="42"/>
  <c r="K13"/>
  <c r="L13"/>
  <c r="AG31" i="1"/>
  <c r="AH31"/>
  <c r="AI31"/>
  <c r="S36"/>
  <c r="U36"/>
  <c r="W36"/>
  <c r="X36"/>
  <c r="Y36"/>
  <c r="Z36"/>
  <c r="K9"/>
  <c r="J36"/>
  <c r="K36"/>
  <c r="Z66"/>
  <c r="H40" i="42"/>
  <c r="K40"/>
  <c r="L40"/>
  <c r="Z65" i="40"/>
  <c r="AB36"/>
  <c r="AC36"/>
  <c r="AD36"/>
  <c r="AE36"/>
  <c r="AF36"/>
  <c r="AG36"/>
  <c r="AC19" i="1"/>
  <c r="AD19"/>
  <c r="J11" i="42"/>
  <c r="K11"/>
  <c r="L11"/>
  <c r="M11"/>
  <c r="J41" i="5"/>
  <c r="K41"/>
  <c r="H41" i="42"/>
  <c r="K41"/>
  <c r="L41"/>
  <c r="AH13" i="39"/>
  <c r="AI13"/>
  <c r="S18"/>
  <c r="U18"/>
  <c r="W18"/>
  <c r="X18"/>
  <c r="Y18"/>
  <c r="S9" i="1"/>
  <c r="U9"/>
  <c r="W9"/>
  <c r="X9"/>
  <c r="M43" i="42"/>
  <c r="M47"/>
  <c r="M48"/>
  <c r="M68"/>
  <c r="S29" i="1"/>
  <c r="U29"/>
  <c r="W29"/>
  <c r="X29"/>
  <c r="Y29"/>
  <c r="Z29"/>
  <c r="AB29"/>
  <c r="AC29"/>
  <c r="L67" i="9"/>
  <c r="Q67"/>
  <c r="AE37" i="1"/>
  <c r="AF37"/>
  <c r="AE22"/>
  <c r="AF22"/>
  <c r="AG22"/>
  <c r="AH22"/>
  <c r="AI22"/>
  <c r="S27"/>
  <c r="U27"/>
  <c r="W27"/>
  <c r="X27"/>
  <c r="Y27"/>
  <c r="Z27"/>
  <c r="AD38" i="40"/>
  <c r="AE38"/>
  <c r="AF38"/>
  <c r="AG38"/>
  <c r="Z19" i="39"/>
  <c r="AB19"/>
  <c r="I9"/>
  <c r="I14"/>
  <c r="K43"/>
  <c r="K47"/>
  <c r="J15" i="42"/>
  <c r="K15"/>
  <c r="AH26" i="1"/>
  <c r="AI26"/>
  <c r="S31"/>
  <c r="U31"/>
  <c r="W31"/>
  <c r="AG27" i="39"/>
  <c r="AH27"/>
  <c r="AI27"/>
  <c r="S32"/>
  <c r="U32"/>
  <c r="W32"/>
  <c r="X32"/>
  <c r="AE27"/>
  <c r="AF27"/>
  <c r="AC36"/>
  <c r="L33" i="5"/>
  <c r="M33"/>
  <c r="AI39" i="1"/>
  <c r="X32"/>
  <c r="X38" i="39"/>
  <c r="AB21" i="1"/>
  <c r="H38" i="42"/>
  <c r="L38" i="5"/>
  <c r="I78" i="42"/>
  <c r="AB21" i="39"/>
  <c r="L21" i="5"/>
  <c r="L34"/>
  <c r="M34"/>
  <c r="U11" i="6"/>
  <c r="V11"/>
  <c r="X11"/>
  <c r="S7" i="1"/>
  <c r="U7"/>
  <c r="W7"/>
  <c r="Z13" i="39"/>
  <c r="X11"/>
  <c r="AE31" i="1"/>
  <c r="AF31"/>
  <c r="AG36" i="39"/>
  <c r="AB26" i="1"/>
  <c r="AI24"/>
  <c r="AC16" i="39"/>
  <c r="AF39" i="41"/>
  <c r="Y22" i="39"/>
  <c r="Z21" i="1"/>
  <c r="J16" i="42"/>
  <c r="K16"/>
  <c r="AG13" i="39"/>
  <c r="T14"/>
  <c r="Z14"/>
  <c r="I9" i="1"/>
  <c r="I14"/>
  <c r="AH38"/>
  <c r="Z26" i="39"/>
  <c r="Y64" i="1"/>
  <c r="M68" i="5"/>
  <c r="X39" i="1"/>
  <c r="T6"/>
  <c r="Z6"/>
  <c r="U27" i="39"/>
  <c r="T27"/>
  <c r="AG36" i="1"/>
  <c r="Z18" i="6"/>
  <c r="AG26" i="1"/>
  <c r="K73" i="42"/>
  <c r="L73"/>
  <c r="X14" i="1"/>
  <c r="X23" i="39"/>
  <c r="T13" i="40"/>
  <c r="T18" i="41"/>
  <c r="Y67" i="1"/>
  <c r="J37"/>
  <c r="K37"/>
  <c r="AF37" i="40"/>
  <c r="AG37"/>
  <c r="AH37"/>
  <c r="AI37"/>
  <c r="J33" i="5"/>
  <c r="K33"/>
  <c r="H33" i="42"/>
  <c r="K33"/>
  <c r="L33"/>
  <c r="J34" i="41"/>
  <c r="M9"/>
  <c r="M14"/>
  <c r="J29" i="5"/>
  <c r="K29"/>
  <c r="L29"/>
  <c r="M29"/>
  <c r="AE39" i="39"/>
  <c r="AF39"/>
  <c r="AG39"/>
  <c r="AH39"/>
  <c r="S8"/>
  <c r="U8"/>
  <c r="W8"/>
  <c r="X8"/>
  <c r="Y8"/>
  <c r="Z12" i="1"/>
  <c r="AB12"/>
  <c r="AC12"/>
  <c r="AD12"/>
  <c r="AH13"/>
  <c r="AI13"/>
  <c r="S18"/>
  <c r="U18"/>
  <c r="W18"/>
  <c r="X18"/>
  <c r="Z12" i="39"/>
  <c r="AB12"/>
  <c r="AC12"/>
  <c r="AD38" i="41"/>
  <c r="AE38"/>
  <c r="U29" i="39"/>
  <c r="W29"/>
  <c r="X29"/>
  <c r="U18" i="6"/>
  <c r="U54"/>
  <c r="X36" i="40"/>
  <c r="Y36"/>
  <c r="Z36"/>
  <c r="M21" i="42"/>
  <c r="M34"/>
  <c r="Z11" i="6"/>
  <c r="AH24" i="39"/>
  <c r="AI24"/>
  <c r="S29"/>
  <c r="AH14"/>
  <c r="AI14"/>
  <c r="S19"/>
  <c r="U19"/>
  <c r="W19"/>
  <c r="X19"/>
  <c r="Y19"/>
  <c r="AH16" i="1"/>
  <c r="AI16"/>
  <c r="S21"/>
  <c r="U21"/>
  <c r="W21"/>
  <c r="X21"/>
  <c r="Y21"/>
  <c r="X24"/>
  <c r="Y24"/>
  <c r="Z24"/>
  <c r="AD23"/>
  <c r="AC23"/>
  <c r="T36" i="40"/>
  <c r="J28" i="5"/>
  <c r="K28"/>
  <c r="J19"/>
  <c r="K19"/>
  <c r="L19"/>
  <c r="M19"/>
  <c r="J6" i="42"/>
  <c r="K6"/>
  <c r="L6"/>
  <c r="AG18" i="1"/>
  <c r="AH18"/>
  <c r="AI18"/>
  <c r="S23"/>
  <c r="U23"/>
  <c r="W23"/>
  <c r="X23"/>
  <c r="Y23"/>
  <c r="Z23"/>
  <c r="AB23"/>
  <c r="J40" i="5"/>
  <c r="K40"/>
  <c r="L40"/>
  <c r="M40"/>
  <c r="L18" i="42"/>
  <c r="Z7" i="39"/>
  <c r="AB7"/>
  <c r="Y24"/>
  <c r="Z24"/>
  <c r="AB24"/>
  <c r="AC24"/>
  <c r="AB39" i="40"/>
  <c r="AC39"/>
  <c r="AD39"/>
  <c r="K43" i="42"/>
  <c r="L43"/>
  <c r="L47"/>
  <c r="L48"/>
  <c r="L76"/>
  <c r="U33" i="1"/>
  <c r="W33"/>
  <c r="X33"/>
  <c r="Y33"/>
  <c r="Z33"/>
  <c r="AB33"/>
  <c r="J8" i="42"/>
  <c r="K8"/>
  <c r="H7"/>
  <c r="I7"/>
  <c r="I20"/>
  <c r="J44" i="5"/>
  <c r="K44"/>
  <c r="H44" i="42"/>
  <c r="K44"/>
  <c r="L44"/>
  <c r="M44"/>
  <c r="U17" i="1"/>
  <c r="W17"/>
  <c r="X17"/>
  <c r="Y17"/>
  <c r="Z17"/>
  <c r="AB17"/>
  <c r="AC38" i="40"/>
  <c r="J18" i="42"/>
  <c r="K18"/>
  <c r="M9" i="40"/>
  <c r="M14"/>
  <c r="K34"/>
  <c r="K26"/>
  <c r="L26"/>
  <c r="L28"/>
  <c r="AB11" i="1"/>
  <c r="AC11"/>
  <c r="AD11"/>
  <c r="I14" i="41"/>
  <c r="I12"/>
  <c r="AG32"/>
  <c r="AH32"/>
  <c r="AI32"/>
  <c r="S37"/>
  <c r="U37"/>
  <c r="W37"/>
  <c r="X37"/>
  <c r="Y37"/>
  <c r="Z37"/>
  <c r="AB37"/>
  <c r="AC37"/>
  <c r="AD37"/>
  <c r="J35"/>
  <c r="Y65"/>
  <c r="S38" i="1"/>
  <c r="U38"/>
  <c r="W38"/>
  <c r="X38"/>
  <c r="AH28"/>
  <c r="AI28"/>
  <c r="S33"/>
  <c r="K7" i="39"/>
  <c r="K9"/>
  <c r="J36"/>
  <c r="K36"/>
  <c r="Z66"/>
  <c r="T12" i="40"/>
  <c r="AB36" i="39"/>
  <c r="M14" i="1"/>
  <c r="K7"/>
  <c r="M7"/>
  <c r="M9"/>
  <c r="J34"/>
  <c r="H8" i="42"/>
  <c r="I8"/>
  <c r="AE39" i="1"/>
  <c r="AF39"/>
  <c r="AG39"/>
  <c r="AH39"/>
  <c r="X39" i="40"/>
  <c r="Y39"/>
  <c r="Z39"/>
  <c r="S32" i="1"/>
  <c r="U32"/>
  <c r="W32"/>
  <c r="J14" i="5"/>
  <c r="K14"/>
  <c r="AG33" i="39"/>
  <c r="AH33"/>
  <c r="AI33"/>
  <c r="S38"/>
  <c r="U38"/>
  <c r="W38"/>
  <c r="U36" i="40"/>
  <c r="W36"/>
  <c r="AE33" i="1"/>
  <c r="AF33"/>
  <c r="AG33"/>
  <c r="AH33"/>
  <c r="AI33"/>
  <c r="J8" i="5"/>
  <c r="K8"/>
  <c r="L8"/>
  <c r="M8"/>
  <c r="AD33" i="39"/>
  <c r="AG14" i="1"/>
  <c r="AH14"/>
  <c r="AI14"/>
  <c r="S19"/>
  <c r="U19"/>
  <c r="W19"/>
  <c r="X19"/>
  <c r="Y19"/>
  <c r="Z19"/>
  <c r="AB19"/>
  <c r="Y13"/>
  <c r="Z13"/>
  <c r="AB13"/>
  <c r="AC13"/>
  <c r="H43" i="42"/>
  <c r="I43"/>
  <c r="I47"/>
  <c r="I48"/>
  <c r="I76"/>
  <c r="AH16" i="39"/>
  <c r="AI16"/>
  <c r="S21"/>
  <c r="U21"/>
  <c r="W21"/>
  <c r="X21"/>
  <c r="Y21"/>
  <c r="Z21"/>
  <c r="U34" i="1"/>
  <c r="W34"/>
  <c r="X34"/>
  <c r="Y34"/>
  <c r="Z34"/>
  <c r="J37" i="5"/>
  <c r="K37"/>
  <c r="AI19" i="39"/>
  <c r="S24"/>
  <c r="U24"/>
  <c r="W24"/>
  <c r="X24"/>
  <c r="J23" i="5"/>
  <c r="K23"/>
  <c r="H23" i="42"/>
  <c r="K23"/>
  <c r="L23"/>
  <c r="X13" i="39"/>
  <c r="Y13"/>
  <c r="S11"/>
  <c r="U11"/>
  <c r="W11"/>
  <c r="J21" i="5"/>
  <c r="K21"/>
  <c r="H21" i="42"/>
  <c r="K21"/>
  <c r="L21"/>
  <c r="AE36" i="39"/>
  <c r="AF36"/>
  <c r="J45" i="5"/>
  <c r="K45"/>
  <c r="H45" i="42"/>
  <c r="K45"/>
  <c r="L45"/>
  <c r="AG34" i="40"/>
  <c r="AH34"/>
  <c r="AI34"/>
  <c r="S39"/>
  <c r="U39"/>
  <c r="W39"/>
  <c r="U26" i="1"/>
  <c r="W26"/>
  <c r="X26"/>
  <c r="Y26"/>
  <c r="Z26"/>
  <c r="AG28"/>
  <c r="Y38" i="41"/>
  <c r="Z38"/>
  <c r="AB38"/>
  <c r="AC38"/>
  <c r="AE24" i="1"/>
  <c r="AF24"/>
  <c r="AG24"/>
  <c r="AH24"/>
  <c r="X12" i="39"/>
  <c r="Y12"/>
  <c r="AB16"/>
  <c r="AD39" i="41"/>
  <c r="AE39"/>
  <c r="AE14" i="1"/>
  <c r="AF14"/>
  <c r="AE32" i="41"/>
  <c r="AF32"/>
  <c r="X22" i="39"/>
  <c r="AE24"/>
  <c r="AF24"/>
  <c r="AG24"/>
  <c r="AC32" i="41"/>
  <c r="AD32"/>
  <c r="J38" i="5"/>
  <c r="K38"/>
  <c r="AE13" i="39"/>
  <c r="AF13"/>
  <c r="AG14"/>
  <c r="AH29" i="1"/>
  <c r="AI29"/>
  <c r="S34"/>
  <c r="AE18"/>
  <c r="AF18"/>
  <c r="AE6"/>
  <c r="AF6"/>
  <c r="AG6"/>
  <c r="AH6"/>
  <c r="AI6"/>
  <c r="S11"/>
  <c r="U11"/>
  <c r="W11"/>
  <c r="X11"/>
  <c r="Y11"/>
  <c r="Z11"/>
  <c r="AE9" i="39"/>
  <c r="AF9"/>
  <c r="AG9"/>
  <c r="AH9"/>
  <c r="AI9"/>
  <c r="S14"/>
  <c r="U14"/>
  <c r="W14"/>
  <c r="X14"/>
  <c r="Y14"/>
  <c r="S12" i="1"/>
  <c r="U12"/>
  <c r="W12"/>
  <c r="X12"/>
  <c r="Y12"/>
  <c r="AE38"/>
  <c r="AF38"/>
  <c r="AG38"/>
  <c r="S26" i="39"/>
  <c r="U26"/>
  <c r="W26"/>
  <c r="X26"/>
  <c r="Y26"/>
  <c r="J26" i="5"/>
  <c r="K26"/>
  <c r="H26" i="42"/>
  <c r="K26"/>
  <c r="L26"/>
  <c r="S8" i="1"/>
  <c r="U8"/>
  <c r="W8"/>
  <c r="X8"/>
  <c r="Y8"/>
  <c r="Z8"/>
  <c r="AB8"/>
  <c r="AC8"/>
  <c r="J16" i="5"/>
  <c r="K16"/>
  <c r="L16"/>
  <c r="M16"/>
  <c r="J43"/>
  <c r="K43"/>
  <c r="L43"/>
  <c r="M43"/>
  <c r="M47"/>
  <c r="M48"/>
  <c r="Y22" i="1"/>
  <c r="Z22"/>
  <c r="AB22"/>
  <c r="AC22"/>
  <c r="AD22"/>
  <c r="J7"/>
  <c r="M19"/>
  <c r="M21"/>
  <c r="J72" i="42"/>
  <c r="AH38" i="39"/>
  <c r="J17" i="42"/>
  <c r="K17"/>
  <c r="L17"/>
  <c r="AH34" i="1"/>
  <c r="AI34"/>
  <c r="S39"/>
  <c r="U39"/>
  <c r="W39"/>
  <c r="S6"/>
  <c r="U6"/>
  <c r="W6"/>
  <c r="X6"/>
  <c r="Y6"/>
  <c r="AE22" i="39"/>
  <c r="AF22"/>
  <c r="AG22"/>
  <c r="AH22"/>
  <c r="AI22"/>
  <c r="S27"/>
  <c r="AE36" i="1"/>
  <c r="AF36"/>
  <c r="J7" i="42"/>
  <c r="K7"/>
  <c r="L7"/>
  <c r="M7"/>
  <c r="M20"/>
  <c r="Z9" i="6"/>
  <c r="AE29" i="40"/>
  <c r="AF29"/>
  <c r="AG29"/>
  <c r="AH29"/>
  <c r="AI29"/>
  <c r="S34"/>
  <c r="U34"/>
  <c r="W34"/>
  <c r="X34"/>
  <c r="Y34"/>
  <c r="Z34"/>
  <c r="AB34"/>
  <c r="AC34"/>
  <c r="AD34"/>
  <c r="AE34"/>
  <c r="AF34"/>
  <c r="S16" i="1"/>
  <c r="AE12"/>
  <c r="AF12"/>
  <c r="AG12"/>
  <c r="AH12"/>
  <c r="AI12"/>
  <c r="S17"/>
  <c r="AE21"/>
  <c r="AF21"/>
  <c r="AG21"/>
  <c r="AH21"/>
  <c r="AI21"/>
  <c r="S26"/>
  <c r="AE26"/>
  <c r="AF26"/>
  <c r="AE27"/>
  <c r="AF27"/>
  <c r="AG27"/>
  <c r="AH27"/>
  <c r="AI27"/>
  <c r="AI26" i="39"/>
  <c r="S31"/>
  <c r="U31"/>
  <c r="W31"/>
  <c r="AH7"/>
  <c r="AI7"/>
  <c r="S12"/>
  <c r="U12"/>
  <c r="W12"/>
  <c r="J24" i="5"/>
  <c r="K24"/>
  <c r="L24"/>
  <c r="M24"/>
  <c r="AB34" i="41"/>
  <c r="AC34"/>
  <c r="AD34"/>
  <c r="AE34"/>
  <c r="AF34"/>
  <c r="AG34"/>
  <c r="AH34"/>
  <c r="AI34"/>
  <c r="S39"/>
  <c r="U39"/>
  <c r="W39"/>
  <c r="X39"/>
  <c r="Y39"/>
  <c r="Z39"/>
  <c r="AB39"/>
  <c r="AC39"/>
  <c r="AE29" i="1"/>
  <c r="AF29"/>
  <c r="AG29"/>
  <c r="S34" i="39"/>
  <c r="AE16"/>
  <c r="AF16"/>
  <c r="AG16"/>
  <c r="AE17"/>
  <c r="AF17"/>
  <c r="AG17"/>
  <c r="AH17"/>
  <c r="AI17"/>
  <c r="S22"/>
  <c r="U22"/>
  <c r="W22"/>
  <c r="AE14"/>
  <c r="AF14"/>
  <c r="AH27" i="41"/>
  <c r="AI27"/>
  <c r="S32"/>
  <c r="U32"/>
  <c r="W32"/>
  <c r="X32"/>
  <c r="Y32"/>
  <c r="Z32"/>
  <c r="AB32"/>
  <c r="AG16" i="1"/>
  <c r="X13"/>
  <c r="Z34" i="41"/>
  <c r="AE9" i="1"/>
  <c r="AF9"/>
  <c r="AG9"/>
  <c r="AH9"/>
  <c r="AI9"/>
  <c r="S14"/>
  <c r="U14"/>
  <c r="W14"/>
  <c r="Y29" i="40"/>
  <c r="Z29"/>
  <c r="AB29"/>
  <c r="AC29"/>
  <c r="AD29"/>
  <c r="AE19" i="1"/>
  <c r="AF19"/>
  <c r="AG19"/>
  <c r="AH19"/>
  <c r="AI19"/>
  <c r="S24"/>
  <c r="U24"/>
  <c r="W24"/>
  <c r="AI32"/>
  <c r="S37"/>
  <c r="U37"/>
  <c r="W37"/>
  <c r="X37"/>
  <c r="AE8" i="39"/>
  <c r="AF8"/>
  <c r="AG8"/>
  <c r="AH8"/>
  <c r="AI8"/>
  <c r="S13"/>
  <c r="U13"/>
  <c r="W13"/>
  <c r="Z37" i="40"/>
  <c r="AB37"/>
  <c r="AC37"/>
  <c r="AD37"/>
  <c r="AE37"/>
  <c r="AG13" i="1"/>
  <c r="AE26" i="39"/>
  <c r="AF26"/>
  <c r="AG26"/>
  <c r="AH26"/>
  <c r="S28"/>
  <c r="U28"/>
  <c r="W28"/>
  <c r="X28"/>
  <c r="Y28"/>
  <c r="AE18"/>
  <c r="AF18"/>
  <c r="AG18"/>
  <c r="AH18"/>
  <c r="AI18"/>
  <c r="S23"/>
  <c r="U23"/>
  <c r="W23"/>
  <c r="AI33" i="41"/>
  <c r="S38"/>
  <c r="U38"/>
  <c r="W38"/>
  <c r="X38"/>
  <c r="X29" i="40"/>
  <c r="T26"/>
  <c r="H73" i="42"/>
  <c r="K7" i="40"/>
  <c r="M7"/>
  <c r="J21"/>
  <c r="J20"/>
  <c r="Y39" i="39"/>
  <c r="Z39"/>
  <c r="AB39"/>
  <c r="AC39"/>
  <c r="AD39"/>
  <c r="AE12"/>
  <c r="AF12"/>
  <c r="AG12"/>
  <c r="AH12"/>
  <c r="AI12"/>
  <c r="S17"/>
  <c r="U17"/>
  <c r="W17"/>
  <c r="X17"/>
  <c r="Y17"/>
  <c r="Z17"/>
  <c r="AE32"/>
  <c r="AF32"/>
  <c r="AG32"/>
  <c r="AH32"/>
  <c r="AI32"/>
  <c r="S37"/>
  <c r="U37"/>
  <c r="W37"/>
  <c r="X37"/>
  <c r="AC33" i="40"/>
  <c r="AD33"/>
  <c r="AE33"/>
  <c r="AF33"/>
  <c r="AG33"/>
  <c r="AH33"/>
  <c r="AI33"/>
  <c r="S38"/>
  <c r="U38"/>
  <c r="W38"/>
  <c r="X38"/>
  <c r="Y38"/>
  <c r="Z38"/>
  <c r="AB38"/>
  <c r="U36" i="41"/>
  <c r="W36"/>
  <c r="X36"/>
  <c r="Y36"/>
  <c r="Z36"/>
  <c r="AB36"/>
  <c r="AC36"/>
  <c r="AD36"/>
  <c r="AE36"/>
  <c r="AF36"/>
  <c r="S7" i="39"/>
  <c r="U7"/>
  <c r="W7"/>
  <c r="X7"/>
  <c r="Y7"/>
  <c r="AE31"/>
  <c r="AF31"/>
  <c r="AG31"/>
  <c r="AH31"/>
  <c r="AI31"/>
  <c r="S36"/>
  <c r="U36"/>
  <c r="W36"/>
  <c r="X36"/>
  <c r="Y36"/>
  <c r="Z36"/>
  <c r="AE28"/>
  <c r="AF28"/>
  <c r="AG28"/>
  <c r="AH28"/>
  <c r="AI28"/>
  <c r="S33"/>
  <c r="U33"/>
  <c r="W33"/>
  <c r="X33"/>
  <c r="Y33"/>
  <c r="Z33"/>
  <c r="AB33"/>
  <c r="AC33"/>
  <c r="J7"/>
  <c r="M19"/>
  <c r="M21"/>
  <c r="J3" i="42"/>
  <c r="J14"/>
  <c r="K14"/>
  <c r="L14"/>
  <c r="AE19" i="39"/>
  <c r="AF19"/>
  <c r="AG19"/>
  <c r="AH19"/>
  <c r="J12" i="5"/>
  <c r="K12"/>
  <c r="L12"/>
  <c r="M12"/>
  <c r="AE6" i="39"/>
  <c r="AF6"/>
  <c r="AG6"/>
  <c r="AH6"/>
  <c r="AI6"/>
  <c r="AE33"/>
  <c r="AF33"/>
  <c r="AE34"/>
  <c r="AF34"/>
  <c r="AG34"/>
  <c r="AH34"/>
  <c r="AI34"/>
  <c r="S39"/>
  <c r="U39"/>
  <c r="W39"/>
  <c r="X39"/>
  <c r="AE28" i="1"/>
  <c r="AF28"/>
  <c r="AE11" i="39"/>
  <c r="AF11"/>
  <c r="AG11"/>
  <c r="AH11"/>
  <c r="AI11"/>
  <c r="S16"/>
  <c r="U16"/>
  <c r="W16"/>
  <c r="X16"/>
  <c r="Y16"/>
  <c r="Z16"/>
  <c r="C5"/>
  <c r="I7"/>
  <c r="S9"/>
  <c r="U9"/>
  <c r="W9"/>
  <c r="X9"/>
  <c r="Y9"/>
  <c r="Z9"/>
  <c r="AB9"/>
  <c r="AE7" i="1"/>
  <c r="AF7"/>
  <c r="AG7"/>
  <c r="AH7"/>
  <c r="AI7"/>
  <c r="AE21" i="39"/>
  <c r="AF21"/>
  <c r="AG21"/>
  <c r="AH21"/>
  <c r="AI21"/>
  <c r="AG17" i="1"/>
  <c r="AH17"/>
  <c r="AI17"/>
  <c r="S22"/>
  <c r="U22"/>
  <c r="W22"/>
  <c r="X22"/>
  <c r="AE38" i="39"/>
  <c r="AF38"/>
  <c r="AG38"/>
  <c r="AE34" i="1"/>
  <c r="AF34"/>
  <c r="AG34"/>
  <c r="C5"/>
  <c r="I7"/>
  <c r="AE11"/>
  <c r="AF11"/>
  <c r="AG11"/>
  <c r="AH11"/>
  <c r="AI11"/>
  <c r="AE7" i="39"/>
  <c r="AF7"/>
  <c r="AG7"/>
  <c r="AE29"/>
  <c r="AF29"/>
  <c r="AG29"/>
  <c r="AH29"/>
  <c r="AI29"/>
  <c r="AE17" i="1"/>
  <c r="AF17"/>
  <c r="AC22" i="41"/>
  <c r="AD22"/>
  <c r="AE22"/>
  <c r="AF22"/>
  <c r="AG22"/>
  <c r="AH22"/>
  <c r="AI22"/>
  <c r="S27"/>
  <c r="U27"/>
  <c r="W27"/>
  <c r="X27"/>
  <c r="Y27"/>
  <c r="Z27"/>
  <c r="AB27"/>
  <c r="AC27"/>
  <c r="AD27"/>
  <c r="AE27"/>
  <c r="AF27"/>
  <c r="AG27"/>
  <c r="AE16" i="1"/>
  <c r="AF16"/>
  <c r="AI8"/>
  <c r="S13"/>
  <c r="U13"/>
  <c r="W13"/>
  <c r="AB29" i="41"/>
  <c r="AC29"/>
  <c r="AD29"/>
  <c r="AE29"/>
  <c r="AF29"/>
  <c r="AG29"/>
  <c r="AH29"/>
  <c r="AI29"/>
  <c r="S34"/>
  <c r="U34"/>
  <c r="W34"/>
  <c r="X34"/>
  <c r="Y34"/>
  <c r="Y22"/>
  <c r="Z22"/>
  <c r="AB22"/>
  <c r="AE32" i="1"/>
  <c r="AF32"/>
  <c r="AG32"/>
  <c r="AH32"/>
  <c r="Y32" i="40"/>
  <c r="Z32"/>
  <c r="AB32"/>
  <c r="AC32"/>
  <c r="AD32"/>
  <c r="AE32"/>
  <c r="AF32"/>
  <c r="AG32"/>
  <c r="AH32"/>
  <c r="AI32"/>
  <c r="S37"/>
  <c r="U37"/>
  <c r="W37"/>
  <c r="X37"/>
  <c r="Y37"/>
  <c r="AE13" i="1"/>
  <c r="AF13"/>
  <c r="M19" i="40"/>
  <c r="M21"/>
  <c r="J3" i="5"/>
  <c r="J7"/>
  <c r="K7"/>
  <c r="L7"/>
  <c r="L20"/>
  <c r="M20"/>
  <c r="U9" i="6"/>
  <c r="I7" i="8"/>
  <c r="M7"/>
  <c r="M16"/>
  <c r="L43"/>
  <c r="M43"/>
  <c r="M67"/>
  <c r="C6" i="39"/>
  <c r="I8"/>
  <c r="AE23"/>
  <c r="AF23"/>
  <c r="AG23"/>
  <c r="AH23"/>
  <c r="AI23"/>
  <c r="AC22" i="40"/>
  <c r="AD22"/>
  <c r="AE22"/>
  <c r="AF22"/>
  <c r="AG22"/>
  <c r="AH22"/>
  <c r="AI22"/>
  <c r="S27"/>
  <c r="U27"/>
  <c r="W27"/>
  <c r="X27"/>
  <c r="Y27"/>
  <c r="Z27"/>
  <c r="AB27"/>
  <c r="AC27"/>
  <c r="AD27"/>
  <c r="AE27"/>
  <c r="AF27"/>
  <c r="AG27"/>
  <c r="AH27"/>
  <c r="AI27"/>
  <c r="S32"/>
  <c r="U32"/>
  <c r="W32"/>
  <c r="X32"/>
  <c r="AG28"/>
  <c r="AH28"/>
  <c r="AI28"/>
  <c r="S33"/>
  <c r="U33"/>
  <c r="W33"/>
  <c r="X33"/>
  <c r="Y33"/>
  <c r="Z33"/>
  <c r="AB33"/>
  <c r="AH17"/>
  <c r="AI17"/>
  <c r="S22"/>
  <c r="U22"/>
  <c r="W22"/>
  <c r="X22"/>
  <c r="Y22"/>
  <c r="Z22"/>
  <c r="AB22"/>
  <c r="S23"/>
  <c r="U23"/>
  <c r="W23"/>
  <c r="X23"/>
  <c r="Y23"/>
  <c r="Z23"/>
  <c r="AB23"/>
  <c r="AC23"/>
  <c r="AD23"/>
  <c r="AE23"/>
  <c r="AF23"/>
  <c r="AG23"/>
  <c r="AH23"/>
  <c r="AI23"/>
  <c r="S28"/>
  <c r="U28"/>
  <c r="W28"/>
  <c r="X28"/>
  <c r="Y28"/>
  <c r="Z28"/>
  <c r="AB28"/>
  <c r="AC28"/>
  <c r="AD28"/>
  <c r="AE28"/>
  <c r="AF28"/>
  <c r="S33" i="41"/>
  <c r="U33"/>
  <c r="W33"/>
  <c r="X33"/>
  <c r="Y33"/>
  <c r="Z33"/>
  <c r="AB33"/>
  <c r="AC33"/>
  <c r="AD33"/>
  <c r="AE33"/>
  <c r="AF33"/>
  <c r="AG33"/>
  <c r="AH33"/>
  <c r="AG8" i="40"/>
  <c r="AH8"/>
  <c r="AI8"/>
  <c r="S13"/>
  <c r="U13"/>
  <c r="W13"/>
  <c r="X13"/>
  <c r="Y13"/>
  <c r="Z13"/>
  <c r="AB13"/>
  <c r="AC13"/>
  <c r="AD13"/>
  <c r="AE13"/>
  <c r="AF13"/>
  <c r="AG13"/>
  <c r="AH13"/>
  <c r="AI13"/>
  <c r="S18"/>
  <c r="U18"/>
  <c r="W18"/>
  <c r="X18"/>
  <c r="Y18"/>
  <c r="Z18"/>
  <c r="AB18"/>
  <c r="AC18"/>
  <c r="AD18"/>
  <c r="AE18"/>
  <c r="AF18"/>
  <c r="AG18"/>
  <c r="AH18"/>
  <c r="AI18"/>
  <c r="AC24" i="41"/>
  <c r="AD24"/>
  <c r="AE24"/>
  <c r="AF24"/>
  <c r="AG24"/>
  <c r="AH24"/>
  <c r="AI24"/>
  <c r="S29"/>
  <c r="U29"/>
  <c r="W29"/>
  <c r="X29"/>
  <c r="Y29"/>
  <c r="Z29"/>
  <c r="Y28"/>
  <c r="Z28"/>
  <c r="AB28"/>
  <c r="AC28"/>
  <c r="AD28"/>
  <c r="AE28"/>
  <c r="AF28"/>
  <c r="AG28"/>
  <c r="AH28"/>
  <c r="AI28"/>
  <c r="AI24" i="40"/>
  <c r="S29"/>
  <c r="U29"/>
  <c r="W29"/>
  <c r="AD17"/>
  <c r="AE17"/>
  <c r="AF17"/>
  <c r="AG17"/>
  <c r="S28" i="41"/>
  <c r="U28"/>
  <c r="W28"/>
  <c r="X28"/>
  <c r="AF17"/>
  <c r="AG17"/>
  <c r="AH17"/>
  <c r="AI17"/>
  <c r="S22"/>
  <c r="U22"/>
  <c r="W22"/>
  <c r="X22"/>
  <c r="AE24" i="40"/>
  <c r="AF24"/>
  <c r="AG24"/>
  <c r="AH24"/>
  <c r="Y17"/>
  <c r="Z17"/>
  <c r="AB17"/>
  <c r="AC17"/>
  <c r="AB17" i="41"/>
  <c r="AC17"/>
  <c r="AD17"/>
  <c r="AE17"/>
  <c r="X24"/>
  <c r="Y24"/>
  <c r="Z24"/>
  <c r="AB24"/>
  <c r="AF23"/>
  <c r="AG23"/>
  <c r="AH23"/>
  <c r="AI23"/>
  <c r="AE8" i="1"/>
  <c r="AF8"/>
  <c r="AG8"/>
  <c r="AH8"/>
  <c r="AG9" i="40"/>
  <c r="AH9"/>
  <c r="AI9"/>
  <c r="S14"/>
  <c r="U14"/>
  <c r="W14"/>
  <c r="X14"/>
  <c r="Y14"/>
  <c r="Z14"/>
  <c r="AB14"/>
  <c r="AC14"/>
  <c r="AD14"/>
  <c r="AE14"/>
  <c r="AF14"/>
  <c r="AG14"/>
  <c r="AH14"/>
  <c r="AI14"/>
  <c r="S19"/>
  <c r="U19"/>
  <c r="W19"/>
  <c r="X19"/>
  <c r="Y19"/>
  <c r="Z19"/>
  <c r="AB19"/>
  <c r="AC19"/>
  <c r="AD19"/>
  <c r="AE19"/>
  <c r="AF19"/>
  <c r="AG19"/>
  <c r="AH19"/>
  <c r="AI19"/>
  <c r="S24"/>
  <c r="U24"/>
  <c r="W24"/>
  <c r="X24"/>
  <c r="Y24"/>
  <c r="Z24"/>
  <c r="AB24"/>
  <c r="AC24"/>
  <c r="AD24"/>
  <c r="AG7"/>
  <c r="AH7"/>
  <c r="AI7"/>
  <c r="S12"/>
  <c r="U12"/>
  <c r="W12"/>
  <c r="X12"/>
  <c r="Y12"/>
  <c r="Z12"/>
  <c r="AB12"/>
  <c r="AC12"/>
  <c r="AD12"/>
  <c r="AE12"/>
  <c r="AF12"/>
  <c r="AG12"/>
  <c r="AH12"/>
  <c r="AI12"/>
  <c r="S17"/>
  <c r="U17"/>
  <c r="W17"/>
  <c r="X17"/>
  <c r="AG7" i="41"/>
  <c r="AH7"/>
  <c r="AI7"/>
  <c r="S12"/>
  <c r="U12"/>
  <c r="W12"/>
  <c r="X12"/>
  <c r="Y12"/>
  <c r="Z12"/>
  <c r="AB12"/>
  <c r="AC12"/>
  <c r="AD12"/>
  <c r="AE12"/>
  <c r="AF12"/>
  <c r="AG12"/>
  <c r="AH12"/>
  <c r="AI12"/>
  <c r="S17"/>
  <c r="U17"/>
  <c r="W17"/>
  <c r="X17"/>
  <c r="Y17"/>
  <c r="Z17"/>
  <c r="AG14"/>
  <c r="AH14"/>
  <c r="AI14"/>
  <c r="S19"/>
  <c r="U19"/>
  <c r="W19"/>
  <c r="X19"/>
  <c r="Y19"/>
  <c r="Z19"/>
  <c r="AB19"/>
  <c r="AC19"/>
  <c r="AD19"/>
  <c r="AE19"/>
  <c r="AF19"/>
  <c r="AG19"/>
  <c r="AH19"/>
  <c r="AI19"/>
  <c r="S24"/>
  <c r="U24"/>
  <c r="W24"/>
  <c r="AB23"/>
  <c r="AC23"/>
  <c r="AD23"/>
  <c r="AE23"/>
  <c r="X21" i="40"/>
  <c r="Y21"/>
  <c r="Z21"/>
  <c r="AB21"/>
  <c r="AC21"/>
  <c r="AD21"/>
  <c r="AE21"/>
  <c r="AF21"/>
  <c r="AG21"/>
  <c r="AH21"/>
  <c r="AI21"/>
  <c r="S26"/>
  <c r="U26"/>
  <c r="W26"/>
  <c r="X26"/>
  <c r="Y26"/>
  <c r="Z26"/>
  <c r="AB26"/>
  <c r="AC26"/>
  <c r="AD26"/>
  <c r="AE26"/>
  <c r="AF26"/>
  <c r="AG26"/>
  <c r="AH26"/>
  <c r="AI26"/>
  <c r="S31"/>
  <c r="U31"/>
  <c r="W31"/>
  <c r="X31"/>
  <c r="Y31"/>
  <c r="Z31"/>
  <c r="AB31"/>
  <c r="AC31"/>
  <c r="AD31"/>
  <c r="AE31"/>
  <c r="AF31"/>
  <c r="AG31"/>
  <c r="AH31"/>
  <c r="AI31"/>
  <c r="S36"/>
  <c r="R49"/>
  <c r="V43"/>
  <c r="V44"/>
  <c r="R51"/>
  <c r="J7"/>
  <c r="L7"/>
  <c r="L8"/>
  <c r="M8"/>
  <c r="K35"/>
  <c r="J49"/>
  <c r="AG6"/>
  <c r="AH6"/>
  <c r="AI6"/>
  <c r="S11"/>
  <c r="U11"/>
  <c r="W11"/>
  <c r="X11"/>
  <c r="Y11"/>
  <c r="Z11"/>
  <c r="AB11"/>
  <c r="AC11"/>
  <c r="AD11"/>
  <c r="AE11"/>
  <c r="AF11"/>
  <c r="AG11"/>
  <c r="AH11"/>
  <c r="AI11"/>
  <c r="S16"/>
  <c r="U16"/>
  <c r="W16"/>
  <c r="X16"/>
  <c r="Y16"/>
  <c r="Z16"/>
  <c r="AB16"/>
  <c r="AC16"/>
  <c r="AD16"/>
  <c r="AE16"/>
  <c r="AF16"/>
  <c r="AG16"/>
  <c r="AH16"/>
  <c r="AI16"/>
  <c r="S21"/>
  <c r="U21"/>
  <c r="W21"/>
  <c r="K7" i="41"/>
  <c r="M7"/>
  <c r="L73" i="5"/>
  <c r="J72"/>
  <c r="K72"/>
  <c r="L72"/>
  <c r="M72"/>
  <c r="U10" i="6"/>
  <c r="V10"/>
  <c r="I8" i="9"/>
  <c r="M8"/>
  <c r="M16"/>
  <c r="L43"/>
  <c r="M43"/>
  <c r="M67"/>
  <c r="C6" i="1"/>
  <c r="I8"/>
  <c r="AG9" i="41"/>
  <c r="AH9"/>
  <c r="AI9"/>
  <c r="S14"/>
  <c r="U14"/>
  <c r="W14"/>
  <c r="X14"/>
  <c r="Y14"/>
  <c r="Z14"/>
  <c r="AB14"/>
  <c r="AC14"/>
  <c r="AD14"/>
  <c r="AE14"/>
  <c r="AF14"/>
  <c r="AG8"/>
  <c r="AH8"/>
  <c r="AI8"/>
  <c r="S13"/>
  <c r="U13"/>
  <c r="W13"/>
  <c r="X13"/>
  <c r="Y13"/>
  <c r="Z13"/>
  <c r="AB13"/>
  <c r="AC13"/>
  <c r="AD13"/>
  <c r="AE13"/>
  <c r="AF13"/>
  <c r="AG13"/>
  <c r="AH13"/>
  <c r="AI13"/>
  <c r="S18"/>
  <c r="U18"/>
  <c r="W18"/>
  <c r="X18"/>
  <c r="Y18"/>
  <c r="Z18"/>
  <c r="AB18"/>
  <c r="AC18"/>
  <c r="AD18"/>
  <c r="AE18"/>
  <c r="AF18"/>
  <c r="AG18"/>
  <c r="AH18"/>
  <c r="AI18"/>
  <c r="S23"/>
  <c r="U23"/>
  <c r="W23"/>
  <c r="X23"/>
  <c r="Y23"/>
  <c r="Z23"/>
  <c r="AH16"/>
  <c r="AI16"/>
  <c r="S21"/>
  <c r="U21"/>
  <c r="W21"/>
  <c r="X21"/>
  <c r="Y21"/>
  <c r="Z21"/>
  <c r="AB21"/>
  <c r="AC21"/>
  <c r="AD21"/>
  <c r="AE21"/>
  <c r="AF21"/>
  <c r="AG21"/>
  <c r="AH21"/>
  <c r="AI21"/>
  <c r="S26"/>
  <c r="U26"/>
  <c r="W26"/>
  <c r="X26"/>
  <c r="Y26"/>
  <c r="Z26"/>
  <c r="AB26"/>
  <c r="AC26"/>
  <c r="AD26"/>
  <c r="AE26"/>
  <c r="AF26"/>
  <c r="AG26"/>
  <c r="AH26"/>
  <c r="AI26"/>
  <c r="S31"/>
  <c r="U31"/>
  <c r="W31"/>
  <c r="X31"/>
  <c r="Y31"/>
  <c r="Z31"/>
  <c r="AB31"/>
  <c r="AC31"/>
  <c r="AD31"/>
  <c r="AE31"/>
  <c r="AF31"/>
  <c r="AG31"/>
  <c r="AH31"/>
  <c r="AI31"/>
  <c r="S36"/>
  <c r="R49"/>
  <c r="V43"/>
  <c r="V44"/>
  <c r="R51"/>
  <c r="J7"/>
  <c r="L7"/>
  <c r="L8"/>
  <c r="M8"/>
  <c r="K35"/>
  <c r="J49"/>
  <c r="AG6"/>
  <c r="AH6"/>
  <c r="AI6"/>
  <c r="S11"/>
  <c r="U11"/>
  <c r="W11"/>
  <c r="X11"/>
  <c r="Y11"/>
  <c r="Z11"/>
  <c r="AB11"/>
  <c r="AC11"/>
  <c r="AD11"/>
  <c r="AE11"/>
  <c r="AF11"/>
  <c r="AG11"/>
  <c r="AH11"/>
  <c r="AI11"/>
  <c r="S16"/>
  <c r="U16"/>
  <c r="W16"/>
  <c r="X16"/>
  <c r="Y16"/>
  <c r="Z16"/>
  <c r="AB16"/>
  <c r="AC16"/>
  <c r="AD16"/>
  <c r="AE16"/>
  <c r="AF16"/>
  <c r="AG16"/>
</calcChain>
</file>

<file path=xl/comments1.xml><?xml version="1.0" encoding="utf-8"?>
<comments xmlns="http://schemas.openxmlformats.org/spreadsheetml/2006/main">
  <authors>
    <author>Young, Mike (UTC)</author>
    <author>Steward, Cristina (UTC)</author>
  </authors>
  <commentList>
    <comment ref="Q6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to match annual report revenue</t>
        </r>
      </text>
    </comment>
    <comment ref="Q10" authorId="1">
      <text>
        <r>
          <rPr>
            <b/>
            <sz val="9"/>
            <color indexed="81"/>
            <rFont val="Tahoma"/>
            <family val="2"/>
          </rPr>
          <t>Steward, Cristina (UTC):</t>
        </r>
        <r>
          <rPr>
            <sz val="9"/>
            <color indexed="81"/>
            <rFont val="Tahoma"/>
            <family val="2"/>
          </rPr>
          <t xml:space="preserve">
From annual report</t>
        </r>
      </text>
    </comment>
    <comment ref="T12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This is pass through disposal fee revenue</t>
        </r>
      </text>
    </comment>
    <comment ref="X12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This is pass through disposal fee revenue</t>
        </r>
      </text>
    </comment>
    <comment ref="Q26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Removed non regulated and Admin Cost per Driver Hours Recap</t>
        </r>
      </text>
    </comment>
    <comment ref="P36" authorId="1">
      <text>
        <r>
          <rPr>
            <b/>
            <sz val="9"/>
            <color indexed="81"/>
            <rFont val="Tahoma"/>
            <family val="2"/>
          </rPr>
          <t>Steward, Cristina (UTC):</t>
        </r>
        <r>
          <rPr>
            <sz val="9"/>
            <color indexed="81"/>
            <rFont val="Tahoma"/>
            <family val="2"/>
          </rPr>
          <t xml:space="preserve">
From annual report.</t>
        </r>
      </text>
    </comment>
    <comment ref="Q42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regulated Admin costs per Driver Hours Recap</t>
        </r>
      </text>
    </comment>
    <comment ref="P48" authorId="1">
      <text>
        <r>
          <rPr>
            <b/>
            <sz val="9"/>
            <color indexed="81"/>
            <rFont val="Tahoma"/>
            <charset val="1"/>
          </rPr>
          <t>Steward, Cristina (UTC):</t>
        </r>
        <r>
          <rPr>
            <sz val="9"/>
            <color indexed="81"/>
            <rFont val="Tahoma"/>
            <charset val="1"/>
          </rPr>
          <t xml:space="preserve">
From annual Report.</t>
        </r>
      </text>
    </comment>
  </commentList>
</comments>
</file>

<file path=xl/comments2.xml><?xml version="1.0" encoding="utf-8"?>
<comments xmlns="http://schemas.openxmlformats.org/spreadsheetml/2006/main">
  <authors>
    <author>Young, Mike (UTC)</author>
  </authors>
  <commentList>
    <comment ref="L29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contract labor for disposal is included in disposal fees</t>
        </r>
      </text>
    </comment>
    <comment ref="L38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includes all garbage 
equpment</t>
        </r>
      </text>
    </comment>
    <comment ref="L55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add $1,000 for mailing customer notice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cost of part time customer service person</t>
        </r>
      </text>
    </comment>
  </commentList>
</comments>
</file>

<file path=xl/comments3.xml><?xml version="1.0" encoding="utf-8"?>
<comments xmlns="http://schemas.openxmlformats.org/spreadsheetml/2006/main">
  <authors>
    <author>Young, Mike (UTC)</author>
  </authors>
  <commentList>
    <comment ref="I59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cost of part time customer service person</t>
        </r>
      </text>
    </comment>
  </commentList>
</comments>
</file>

<file path=xl/comments4.xml><?xml version="1.0" encoding="utf-8"?>
<comments xmlns="http://schemas.openxmlformats.org/spreadsheetml/2006/main">
  <authors>
    <author>Young, Mike (UTC)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Equity capped at 60%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prime rate 12/31/17 +2</t>
        </r>
      </text>
    </comment>
  </commentList>
</comments>
</file>

<file path=xl/comments5.xml><?xml version="1.0" encoding="utf-8"?>
<comments xmlns="http://schemas.openxmlformats.org/spreadsheetml/2006/main">
  <authors>
    <author>Young, Mike (UTC)</author>
    <author>Mike Young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Used income stmt revenue less monthy container revenue, divided by $34.45</t>
        </r>
      </text>
    </comment>
    <comment ref="H27" authorId="1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per pick up rate</t>
        </r>
      </text>
    </comment>
  </commentList>
</comments>
</file>

<file path=xl/comments6.xml><?xml version="1.0" encoding="utf-8"?>
<comments xmlns="http://schemas.openxmlformats.org/spreadsheetml/2006/main">
  <authors>
    <author>Young, Mike (UTC)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assume they will convert to new service</t>
        </r>
      </text>
    </comment>
  </commentList>
</comments>
</file>

<file path=xl/comments7.xml><?xml version="1.0" encoding="utf-8"?>
<comments xmlns="http://schemas.openxmlformats.org/spreadsheetml/2006/main">
  <authors>
    <author>Young, Mike (UTC)</author>
  </authors>
  <commentList>
    <comment ref="F24" authorId="0">
      <text>
        <r>
          <rPr>
            <b/>
            <sz val="9"/>
            <color indexed="81"/>
            <rFont val="Tahoma"/>
            <charset val="1"/>
          </rPr>
          <t>Young, Mike (UTC):</t>
        </r>
        <r>
          <rPr>
            <sz val="9"/>
            <color indexed="81"/>
            <rFont val="Tahoma"/>
            <charset val="1"/>
          </rPr>
          <t xml:space="preserve">
corrected via phone call with David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annual report says $311,814</t>
        </r>
      </text>
    </comment>
  </commentList>
</comments>
</file>

<file path=xl/comments8.xml><?xml version="1.0" encoding="utf-8"?>
<comments xmlns="http://schemas.openxmlformats.org/spreadsheetml/2006/main">
  <authors>
    <author>Young, Mike (UTC)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Includes the change from $110 to $125 charged by the county; also includes taxes and transfer station costs</t>
        </r>
      </text>
    </comment>
  </commentList>
</comments>
</file>

<file path=xl/sharedStrings.xml><?xml version="1.0" encoding="utf-8"?>
<sst xmlns="http://schemas.openxmlformats.org/spreadsheetml/2006/main" count="1811" uniqueCount="543">
  <si>
    <t>2018 Version Update Changes</t>
  </si>
  <si>
    <t>CALCULATION TABLES</t>
  </si>
  <si>
    <t>(a)</t>
  </si>
  <si>
    <t>(b)</t>
  </si>
  <si>
    <t>(c)</t>
  </si>
  <si>
    <t>(d)</t>
  </si>
  <si>
    <t>(e)</t>
  </si>
  <si>
    <t>(f)</t>
  </si>
  <si>
    <t>Regession</t>
  </si>
  <si>
    <t>Hauler</t>
  </si>
  <si>
    <t>Line</t>
  </si>
  <si>
    <t>Historical</t>
  </si>
  <si>
    <t>Revenue</t>
  </si>
  <si>
    <t>Proforma</t>
  </si>
  <si>
    <t>Before Tax</t>
  </si>
  <si>
    <t>Less</t>
  </si>
  <si>
    <t>Adjusted</t>
  </si>
  <si>
    <t>After Tax</t>
  </si>
  <si>
    <t>Weighted Cost</t>
  </si>
  <si>
    <t>No.</t>
  </si>
  <si>
    <t>Taxes</t>
  </si>
  <si>
    <t>Requirment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</si>
  <si>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</si>
  <si>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</si>
  <si>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</si>
  <si>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</si>
  <si>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</si>
  <si>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</si>
  <si>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</si>
  <si>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</si>
  <si>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</si>
  <si>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</si>
  <si>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Operating Revenue</t>
  </si>
  <si>
    <t>Operating Expenses</t>
  </si>
  <si>
    <t>Operating Income</t>
  </si>
  <si>
    <t>Interest Expense</t>
  </si>
  <si>
    <t>2nd Iteration</t>
  </si>
  <si>
    <t>Income Tax Expense</t>
  </si>
  <si>
    <t>Net Income</t>
  </si>
  <si>
    <t xml:space="preserve">Operating Ratio </t>
  </si>
  <si>
    <t>3rd Iteration</t>
  </si>
  <si>
    <t>Rev Sensitive Taxes</t>
  </si>
  <si>
    <t>Rate Increase</t>
  </si>
  <si>
    <t>4th Iteration</t>
  </si>
  <si>
    <t>Financing Cost</t>
  </si>
  <si>
    <t>Type</t>
  </si>
  <si>
    <t>Percent</t>
  </si>
  <si>
    <t>Amount</t>
  </si>
  <si>
    <t>Rate</t>
  </si>
  <si>
    <t>Weighted</t>
  </si>
  <si>
    <t>5th Iteration</t>
  </si>
  <si>
    <t>Operating Statistics</t>
  </si>
  <si>
    <t>Pre-tax</t>
  </si>
  <si>
    <t>6th Iteration</t>
  </si>
  <si>
    <t>Return on Investment</t>
  </si>
  <si>
    <t>Return on Equity</t>
  </si>
  <si>
    <t>Profit Margin</t>
  </si>
  <si>
    <t>Final turnover</t>
  </si>
  <si>
    <t>Tax Rate</t>
  </si>
  <si>
    <t>Curve</t>
  </si>
  <si>
    <t>Lookup Table</t>
  </si>
  <si>
    <t>Revenue Sensitive Taxes Charges</t>
  </si>
  <si>
    <t xml:space="preserve"> B &amp; O Tax</t>
  </si>
  <si>
    <t xml:space="preserve"> WUTC Fee</t>
  </si>
  <si>
    <t>Curve turnover</t>
  </si>
  <si>
    <t>@EXP(5.72260-(.68367*@LN(T)))</t>
  </si>
  <si>
    <t xml:space="preserve"> City Tax</t>
  </si>
  <si>
    <t>Curve No. used</t>
  </si>
  <si>
    <t>@EXP(5.70827-(.68367*@LN(T)))</t>
  </si>
  <si>
    <t xml:space="preserve"> Bad Debts</t>
  </si>
  <si>
    <t>@EXP(5.69850-(.68367*@LN(T)))</t>
  </si>
  <si>
    <t>Revenue Sensitive</t>
  </si>
  <si>
    <t>@EXP(5.69220-(.68367*@LN(T)))</t>
  </si>
  <si>
    <t>Conversion Factor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</si>
  <si>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</si>
  <si>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</si>
  <si>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</si>
  <si>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</si>
  <si>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</si>
  <si>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</si>
  <si>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</si>
  <si>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</si>
  <si>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</si>
  <si>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Revenue Requirement</t>
  </si>
  <si>
    <t>7th Iteration</t>
  </si>
  <si>
    <t>RevS Taxes</t>
  </si>
  <si>
    <t>Revenue Req</t>
  </si>
  <si>
    <t xml:space="preserve">Total </t>
  </si>
  <si>
    <t xml:space="preserve"> Increase Before</t>
  </si>
  <si>
    <t xml:space="preserve">Revenue </t>
  </si>
  <si>
    <t>Increase After</t>
  </si>
  <si>
    <t xml:space="preserve">RevS </t>
  </si>
  <si>
    <t>Revenue Senstive Taxes (RevS)</t>
  </si>
  <si>
    <t>Before RevS</t>
  </si>
  <si>
    <t>Before</t>
  </si>
  <si>
    <t>Income Tax</t>
  </si>
  <si>
    <t>After</t>
  </si>
  <si>
    <t>B&amp;O Tax Rate</t>
  </si>
  <si>
    <t>Federal Income Tax Rate</t>
  </si>
  <si>
    <t>WUTC Fee</t>
  </si>
  <si>
    <t>City Tax</t>
  </si>
  <si>
    <t>Bad Debts</t>
  </si>
  <si>
    <t>No</t>
  </si>
  <si>
    <t>Total</t>
  </si>
  <si>
    <t>Investment</t>
  </si>
  <si>
    <t>Captial Structure Financing Investment</t>
  </si>
  <si>
    <t>Non-Public Companies</t>
  </si>
  <si>
    <t>Percent Chg</t>
  </si>
  <si>
    <t>● Minimizes impact of changes in test-year revenue from</t>
  </si>
  <si>
    <t>● Allows Income Tax Rate Changes,</t>
  </si>
  <si>
    <t xml:space="preserve">   resulting revenue requirment,</t>
  </si>
  <si>
    <t>● Corrects interest rate transposition in LG.</t>
  </si>
  <si>
    <t>nonpubco</t>
  </si>
  <si>
    <t>Capital Structure - Debt Cost</t>
  </si>
  <si>
    <t>Capital Structure - Debt %</t>
  </si>
  <si>
    <t>INPUTS - Test Year</t>
  </si>
  <si>
    <t>Cost of Capital</t>
  </si>
  <si>
    <t>Change</t>
  </si>
  <si>
    <t>Add: Revenue</t>
  </si>
  <si>
    <t xml:space="preserve"> Sensitive Taxes</t>
  </si>
  <si>
    <t>(d) + (e)</t>
  </si>
  <si>
    <t>(b) + (c)</t>
  </si>
  <si>
    <t>Circular Reference Error</t>
  </si>
  <si>
    <t xml:space="preserve">Check the "Enable iterative calculation" box. </t>
  </si>
  <si>
    <t>Historical Revenue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</si>
  <si>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</si>
  <si>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Check when input is complete</t>
  </si>
  <si>
    <t>For Intial input: Uncheck Checkbox Until Completed</t>
  </si>
  <si>
    <t>This model has been designed to replace the original LG model because of the original model's inability to use lower income tax rates.</t>
  </si>
  <si>
    <t>It uses the same computational data and method reflected in the original model and therefore should produce the same Revenue Requirements that the original model.</t>
  </si>
  <si>
    <t>Error Cascade</t>
  </si>
  <si>
    <t>To prevent a model "error cascade" caused by large changes in numbers,</t>
  </si>
  <si>
    <t>the new model uses an "INPUTS" box for initially entering the company data.</t>
  </si>
  <si>
    <t>File&gt;Options&gt;Formulas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</si>
  <si>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</si>
  <si>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 xml:space="preserve">   When data has been entered into the Inputs box, recheck.</t>
  </si>
  <si>
    <t>Revenue Increase before taxes</t>
  </si>
  <si>
    <t>Lurito Gallagher Model Replacement V5.0c -  Use the inputs box to enter company information.</t>
  </si>
  <si>
    <t>Freedom 2000 LLC dba Cando Recycling</t>
  </si>
  <si>
    <t>Price Out</t>
  </si>
  <si>
    <t>Whatcom County-all customers</t>
  </si>
  <si>
    <t>LG Model</t>
  </si>
  <si>
    <t xml:space="preserve">Item No. </t>
  </si>
  <si>
    <t>Tariff Page</t>
  </si>
  <si>
    <t>Scheduled Service</t>
  </si>
  <si>
    <t>Monthly Customers</t>
  </si>
  <si>
    <t>Monthly Frequency</t>
  </si>
  <si>
    <t>Annual PU's</t>
  </si>
  <si>
    <t>Company Current Tariff</t>
  </si>
  <si>
    <t>Company Current Revenue</t>
  </si>
  <si>
    <t>Company Proposed Tariff</t>
  </si>
  <si>
    <t>Company Proposed Revenue</t>
  </si>
  <si>
    <t>Company Increased Revenue</t>
  </si>
  <si>
    <t>Residential</t>
  </si>
  <si>
    <t>1 minican week</t>
  </si>
  <si>
    <t>1 can week</t>
  </si>
  <si>
    <t>2 cans week</t>
  </si>
  <si>
    <t>3 cans week</t>
  </si>
  <si>
    <t>4 cans week</t>
  </si>
  <si>
    <t>5 cans week</t>
  </si>
  <si>
    <t>1 minican EOW</t>
  </si>
  <si>
    <t>1 can EOW</t>
  </si>
  <si>
    <t>1 can per month</t>
  </si>
  <si>
    <t>1 container mo</t>
  </si>
  <si>
    <t>1 container week</t>
  </si>
  <si>
    <t>64 gal cart monthly</t>
  </si>
  <si>
    <t>96 gal cart weekly</t>
  </si>
  <si>
    <t>Commercial</t>
  </si>
  <si>
    <t>2 cans EOW</t>
  </si>
  <si>
    <t>1st 1.5 Yd Container of Month</t>
  </si>
  <si>
    <t>4 cont week</t>
  </si>
  <si>
    <t>1 cont EOW</t>
  </si>
  <si>
    <t>1 cont 2x week</t>
  </si>
  <si>
    <t>2 cont 2x week</t>
  </si>
  <si>
    <t>3 cont 2x week</t>
  </si>
  <si>
    <t>1 cont month</t>
  </si>
  <si>
    <t>Extras</t>
  </si>
  <si>
    <t>Extra cans (32 Gal)</t>
  </si>
  <si>
    <t>Prepaid Tags (32 Gal)</t>
  </si>
  <si>
    <t>Overweight/Overfull (32Gal)</t>
  </si>
  <si>
    <t>Mini Cans (20 Gal)</t>
  </si>
  <si>
    <t>Extra cans</t>
  </si>
  <si>
    <t>Extra Containers</t>
  </si>
  <si>
    <t>Temporary containers</t>
  </si>
  <si>
    <t>On-call containers</t>
  </si>
  <si>
    <t>Totals</t>
  </si>
  <si>
    <t>No Current Customers</t>
  </si>
  <si>
    <t>mini can EOW</t>
  </si>
  <si>
    <t>mini can MG</t>
  </si>
  <si>
    <t>2 cans MG</t>
  </si>
  <si>
    <t>3 cans MG</t>
  </si>
  <si>
    <t>4 can EOW</t>
  </si>
  <si>
    <t>4 cans MG</t>
  </si>
  <si>
    <t>64 gal cart EOW</t>
  </si>
  <si>
    <t>64 gal cart MG</t>
  </si>
  <si>
    <t>96 gal cart EOW</t>
  </si>
  <si>
    <t>96 gal cart MG</t>
  </si>
  <si>
    <t>Bags-on call</t>
  </si>
  <si>
    <t>Extra minican</t>
  </si>
  <si>
    <t>Extra bag</t>
  </si>
  <si>
    <t>Exatra 64 gal cart</t>
  </si>
  <si>
    <t>Exatra 96 gal cart</t>
  </si>
  <si>
    <t>Check Figures:</t>
  </si>
  <si>
    <t>LG</t>
  </si>
  <si>
    <t>Difference</t>
  </si>
  <si>
    <t>Pro Forma Income Statement</t>
  </si>
  <si>
    <t>Schedule of Restating Adjs</t>
  </si>
  <si>
    <t>Schedule of Pro Forma Adjs</t>
  </si>
  <si>
    <t>RA-1</t>
  </si>
  <si>
    <t>RA-2</t>
  </si>
  <si>
    <t>RA-3</t>
  </si>
  <si>
    <t>RA-4</t>
  </si>
  <si>
    <t>RA-5</t>
  </si>
  <si>
    <t>RA-6</t>
  </si>
  <si>
    <t>RA-7</t>
  </si>
  <si>
    <t>RA-8</t>
  </si>
  <si>
    <t>PF-1</t>
  </si>
  <si>
    <t>PF-2</t>
  </si>
  <si>
    <t>PF-3</t>
  </si>
  <si>
    <t>PF-4</t>
  </si>
  <si>
    <t>PF-5</t>
  </si>
  <si>
    <t>PF-6</t>
  </si>
  <si>
    <t>PF-7</t>
  </si>
  <si>
    <t>Test</t>
  </si>
  <si>
    <t>Effect of</t>
  </si>
  <si>
    <t>Pro Forma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</si>
  <si>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</si>
  <si>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</si>
  <si>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</si>
  <si>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</si>
  <si>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</si>
  <si>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</si>
  <si>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</si>
  <si>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</si>
  <si>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</si>
  <si>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</si>
  <si>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</si>
  <si>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</si>
  <si>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</si>
  <si>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Restating</t>
  </si>
  <si>
    <t>Restated</t>
  </si>
  <si>
    <t>Proposed</t>
  </si>
  <si>
    <t>w/Proposed</t>
  </si>
  <si>
    <t>WUTC</t>
  </si>
  <si>
    <t>Fuel</t>
  </si>
  <si>
    <t>Bad</t>
  </si>
  <si>
    <t>Staff</t>
  </si>
  <si>
    <t>Reclass</t>
  </si>
  <si>
    <t>Labor</t>
  </si>
  <si>
    <t>Disposal</t>
  </si>
  <si>
    <t>2017</t>
  </si>
  <si>
    <t>Adjs</t>
  </si>
  <si>
    <t>total</t>
  </si>
  <si>
    <t>Rates</t>
  </si>
  <si>
    <t>Depreciation</t>
  </si>
  <si>
    <t>Surcharge</t>
  </si>
  <si>
    <t>Adjustments</t>
  </si>
  <si>
    <t>Costs</t>
  </si>
  <si>
    <t>Increase</t>
  </si>
  <si>
    <t>Residential Revenue</t>
  </si>
  <si>
    <t>Commercial Revenue</t>
  </si>
  <si>
    <t>Drop Box &amp; Compactor Revenue</t>
  </si>
  <si>
    <t>Dump Fee Revenue</t>
  </si>
  <si>
    <t>Recycling &amp; Sale of Commodities</t>
  </si>
  <si>
    <t>Miscellaneous Garbage Revenue</t>
  </si>
  <si>
    <t>Fuel Surcharge</t>
  </si>
  <si>
    <t>-</t>
  </si>
  <si>
    <t>=</t>
  </si>
  <si>
    <t>Disposal Fees</t>
  </si>
  <si>
    <t>Shop Labor Cost Allocation</t>
  </si>
  <si>
    <t>Repairs to Garbage Collection Equipment</t>
  </si>
  <si>
    <t>Tires &amp; Tubes</t>
  </si>
  <si>
    <t>Shop Allocation</t>
  </si>
  <si>
    <t>Driver Wages</t>
  </si>
  <si>
    <t>Contract Labor</t>
  </si>
  <si>
    <t>Employee Benefits</t>
  </si>
  <si>
    <t>Payroll Taxes</t>
  </si>
  <si>
    <t>Driver Labor Cost Allocation</t>
  </si>
  <si>
    <t>Fuel &amp; Oil</t>
  </si>
  <si>
    <t>Insurance - Vehicle</t>
  </si>
  <si>
    <t>Vehicle License, Registration Fees, Permits</t>
  </si>
  <si>
    <t>Property Damage</t>
  </si>
  <si>
    <t>Fleet Allocation</t>
  </si>
  <si>
    <t>Truck Depreciation</t>
  </si>
  <si>
    <t>Toter Depreciation</t>
  </si>
  <si>
    <t>Container Depreciation</t>
  </si>
  <si>
    <t>Drop Box Depreciation</t>
  </si>
  <si>
    <t>Regulatory Expense</t>
  </si>
  <si>
    <t>State B&amp;O Tax</t>
  </si>
  <si>
    <t>Admin Labor Cost Allocation</t>
  </si>
  <si>
    <t>Advertising &amp; Promotion</t>
  </si>
  <si>
    <t>Bad Debt</t>
  </si>
  <si>
    <t>Legal &amp; Accounting</t>
  </si>
  <si>
    <t>Meals &amp; Entertainment</t>
  </si>
  <si>
    <t>Office Expense</t>
  </si>
  <si>
    <t>G&amp;A Allocation</t>
  </si>
  <si>
    <t>Total Operating Expense</t>
  </si>
  <si>
    <t>Garbage</t>
  </si>
  <si>
    <t>Recycling</t>
  </si>
  <si>
    <t>Regulated</t>
  </si>
  <si>
    <t>Non Regulated</t>
  </si>
  <si>
    <t>Shared</t>
  </si>
  <si>
    <t>GT D</t>
  </si>
  <si>
    <t>RT D</t>
  </si>
  <si>
    <t>GT S</t>
  </si>
  <si>
    <t>RT S</t>
  </si>
  <si>
    <t>Roll Off</t>
  </si>
  <si>
    <t>Driver</t>
  </si>
  <si>
    <t>Yard</t>
  </si>
  <si>
    <t>Window</t>
  </si>
  <si>
    <t>Admin</t>
  </si>
  <si>
    <t>Truck</t>
  </si>
  <si>
    <t>March</t>
  </si>
  <si>
    <t>GT</t>
  </si>
  <si>
    <t>RT</t>
  </si>
  <si>
    <t>April</t>
  </si>
  <si>
    <t>June</t>
  </si>
  <si>
    <t>July</t>
  </si>
  <si>
    <t>Sept</t>
  </si>
  <si>
    <t>October</t>
  </si>
  <si>
    <t>.</t>
  </si>
  <si>
    <t>January</t>
  </si>
  <si>
    <t>February</t>
  </si>
  <si>
    <t>August</t>
  </si>
  <si>
    <t>September</t>
  </si>
  <si>
    <t>November</t>
  </si>
  <si>
    <t>December</t>
  </si>
  <si>
    <t>Hours %</t>
  </si>
  <si>
    <t>Overhead</t>
  </si>
  <si>
    <t>* Allocate admin from reg and non-reg</t>
  </si>
  <si>
    <t>G=garbage</t>
  </si>
  <si>
    <t>R=Recycling</t>
  </si>
  <si>
    <t>S=swampers (helpers)</t>
  </si>
  <si>
    <t>Driver Hours</t>
  </si>
  <si>
    <t>Adds</t>
  </si>
  <si>
    <t>Bank Charges</t>
  </si>
  <si>
    <t>Computer</t>
  </si>
  <si>
    <t>Dues &amp; Subscript.</t>
  </si>
  <si>
    <t>Misc</t>
  </si>
  <si>
    <t>Postage</t>
  </si>
  <si>
    <t>Printing</t>
  </si>
  <si>
    <t>Telephone</t>
  </si>
  <si>
    <t>Salaries</t>
  </si>
  <si>
    <t>Supplies</t>
  </si>
  <si>
    <t>Other Admin</t>
  </si>
  <si>
    <t>Indirect labor</t>
  </si>
  <si>
    <t>Asset Category</t>
  </si>
  <si>
    <t>List</t>
  </si>
  <si>
    <t>Roll-off Truck</t>
  </si>
  <si>
    <t>Garbage/Yardwaste/Recycle Truck</t>
  </si>
  <si>
    <t>Commercial Container</t>
  </si>
  <si>
    <t>Roll-off Container</t>
  </si>
  <si>
    <t>Office Equipment</t>
  </si>
  <si>
    <t>Machinery &amp; Yard Equipment</t>
  </si>
  <si>
    <t>Leasehold Improvements-Land</t>
  </si>
  <si>
    <t>Commercial container</t>
  </si>
  <si>
    <t>Recycling Containers</t>
  </si>
  <si>
    <t>Roll off container</t>
  </si>
  <si>
    <t>Forklift</t>
  </si>
  <si>
    <t>Freedom 2000</t>
  </si>
  <si>
    <t>proposed</t>
  </si>
  <si>
    <t>existing</t>
  </si>
  <si>
    <t>ordered</t>
  </si>
  <si>
    <t>Asset Description</t>
  </si>
  <si>
    <t>2007 Sterling (used)</t>
  </si>
  <si>
    <t xml:space="preserve">2004 International Recycle Truck </t>
  </si>
  <si>
    <t>2001 International Garbage Truck (used)</t>
  </si>
  <si>
    <t>1999 CCC Recycling Truck (used)</t>
  </si>
  <si>
    <t>6 Yard Wayne Garbage Truck (used)</t>
  </si>
  <si>
    <t>2007 International Garbage Truck (used)</t>
  </si>
  <si>
    <t>1 1/2 yard dumpsters (5)</t>
  </si>
  <si>
    <t>20 yard Container</t>
  </si>
  <si>
    <t>1 1/2 Yard dumpsters (25)</t>
  </si>
  <si>
    <t>Computers</t>
  </si>
  <si>
    <t>Software</t>
  </si>
  <si>
    <t>Komatsu Excavator</t>
  </si>
  <si>
    <t>Kubota Tractor</t>
  </si>
  <si>
    <t>Temporary fencing</t>
  </si>
  <si>
    <t>6-4 Yard dumpsters</t>
  </si>
  <si>
    <t>112 sets of 3</t>
  </si>
  <si>
    <t>1800 sets of 3</t>
  </si>
  <si>
    <t>Nissan Forklift</t>
  </si>
  <si>
    <t>14 yard Container</t>
  </si>
  <si>
    <t>1 yard self tipping bins</t>
  </si>
  <si>
    <t>Yr</t>
  </si>
  <si>
    <t>$</t>
  </si>
  <si>
    <t>Date</t>
  </si>
  <si>
    <t>Service Life</t>
  </si>
  <si>
    <t>%</t>
  </si>
  <si>
    <t>Allocation</t>
  </si>
  <si>
    <t>Annual</t>
  </si>
  <si>
    <t>Rate Base</t>
  </si>
  <si>
    <t>Asset Listing</t>
  </si>
  <si>
    <t>**Note: Percentages are based on driver hours</t>
  </si>
  <si>
    <t>see tab "Driver Hours Recap"</t>
  </si>
  <si>
    <t>Freedom 2000, LLC exclusive of transfer station revenue and expense</t>
  </si>
  <si>
    <t>INCOME</t>
  </si>
  <si>
    <t>Commercial Customers</t>
  </si>
  <si>
    <t>Residential Customers</t>
  </si>
  <si>
    <t>Residential Recycling</t>
  </si>
  <si>
    <t>Pass through Disposal</t>
  </si>
  <si>
    <t>Other Income</t>
  </si>
  <si>
    <t>Income totals</t>
  </si>
  <si>
    <t>EXPENSES</t>
  </si>
  <si>
    <t>Adminmistration</t>
  </si>
  <si>
    <t>Bad debt</t>
  </si>
  <si>
    <t>Contract Financial Services</t>
  </si>
  <si>
    <t>Dues and Subscriptions</t>
  </si>
  <si>
    <t>Insurance</t>
  </si>
  <si>
    <t>Legal</t>
  </si>
  <si>
    <t>Licenses and Regiulatory Fees</t>
  </si>
  <si>
    <t>Miscellaneous, Business</t>
  </si>
  <si>
    <t>Office</t>
  </si>
  <si>
    <t>Officer's benefits</t>
  </si>
  <si>
    <t>Printing and Reproduction</t>
  </si>
  <si>
    <t>Supplies, Business</t>
  </si>
  <si>
    <t>Other Administration</t>
  </si>
  <si>
    <t>Administration Totals</t>
  </si>
  <si>
    <t>Direct Labor</t>
  </si>
  <si>
    <t>Full Time</t>
  </si>
  <si>
    <t>Part Time</t>
  </si>
  <si>
    <t>Overtime</t>
  </si>
  <si>
    <t>Other, Direct Labor</t>
  </si>
  <si>
    <t>Direct Labor Totals</t>
  </si>
  <si>
    <t>Indirect Labor</t>
  </si>
  <si>
    <t>CDL Expense</t>
  </si>
  <si>
    <t>CDL Medical Expense</t>
  </si>
  <si>
    <t>Controlled Substance Testing</t>
  </si>
  <si>
    <t>Labor and Industries</t>
  </si>
  <si>
    <t>Other Indirect Labvor</t>
  </si>
  <si>
    <t>Indirect Labor Expenses</t>
  </si>
  <si>
    <t>Vehicle</t>
  </si>
  <si>
    <t>Depreciation Expense</t>
  </si>
  <si>
    <t>Registration and Licensing</t>
  </si>
  <si>
    <t>Repairs and maintenance</t>
  </si>
  <si>
    <t>Tires and Repairs</t>
  </si>
  <si>
    <t>Other, Vehicle</t>
  </si>
  <si>
    <t>Vehicle Totals</t>
  </si>
  <si>
    <t>Disposal and Processing</t>
  </si>
  <si>
    <t>Contract Services</t>
  </si>
  <si>
    <t>Depreciation Expense - Bins</t>
  </si>
  <si>
    <t>Maintenance - Bins</t>
  </si>
  <si>
    <t>Other Disposal and Processing</t>
  </si>
  <si>
    <t xml:space="preserve">Recycle </t>
  </si>
  <si>
    <t>Disposal Totals</t>
  </si>
  <si>
    <t>Facility</t>
  </si>
  <si>
    <t>Depreciation - Equipment</t>
  </si>
  <si>
    <t>Power and Light</t>
  </si>
  <si>
    <t>Water</t>
  </si>
  <si>
    <t>Rent</t>
  </si>
  <si>
    <t>Repairs and Maintenance</t>
  </si>
  <si>
    <t>Other, Facility</t>
  </si>
  <si>
    <t>Facility Totals</t>
  </si>
  <si>
    <t>Tax, Business</t>
  </si>
  <si>
    <t>County Excixe Tax</t>
  </si>
  <si>
    <t>Federal Tax</t>
  </si>
  <si>
    <t>State  B&amp;O Tax</t>
  </si>
  <si>
    <t>Tax, Business Totals</t>
  </si>
  <si>
    <t>Total Revenue</t>
  </si>
  <si>
    <t>Total Expense</t>
  </si>
  <si>
    <t>Total Margin</t>
  </si>
  <si>
    <t>Percentage Margin</t>
  </si>
  <si>
    <t>Current</t>
  </si>
  <si>
    <t>Increased</t>
  </si>
  <si>
    <t>Customer</t>
  </si>
  <si>
    <t>with</t>
  </si>
  <si>
    <t>Vehicle Expense</t>
  </si>
  <si>
    <t xml:space="preserve">Maintenance - Bins </t>
  </si>
  <si>
    <t>Allocated</t>
  </si>
  <si>
    <t>From "Cando 2019" tab multiplied by "Driver Hours Recap" tab percentage</t>
  </si>
  <si>
    <t xml:space="preserve">Remove </t>
  </si>
  <si>
    <t>non-regulated</t>
  </si>
  <si>
    <t>Residential Garbage Revenue</t>
  </si>
  <si>
    <t xml:space="preserve">Residential Recycling Revenue </t>
  </si>
  <si>
    <t>Recycling Res</t>
  </si>
  <si>
    <t>Monthly cont. rent 1.5 yd</t>
  </si>
  <si>
    <t>Management Fee</t>
  </si>
  <si>
    <t>Total hrs</t>
  </si>
  <si>
    <t>Total reg</t>
  </si>
  <si>
    <t>Non-Regulated</t>
  </si>
  <si>
    <t>Actual Reg</t>
  </si>
  <si>
    <t>Total current</t>
  </si>
  <si>
    <t>non reg</t>
  </si>
  <si>
    <t>shared</t>
  </si>
  <si>
    <t>Non-reg</t>
  </si>
  <si>
    <t>Future</t>
  </si>
  <si>
    <t>Recycling Rev</t>
  </si>
  <si>
    <t xml:space="preserve">Garbage </t>
  </si>
  <si>
    <t>Tons</t>
  </si>
  <si>
    <t>Typre</t>
  </si>
  <si>
    <t>Per ton cost</t>
  </si>
  <si>
    <t>Annual Garbage</t>
  </si>
  <si>
    <t>Annual Recycling</t>
  </si>
  <si>
    <t>Annual Disp Fee</t>
  </si>
  <si>
    <t>Total Curr</t>
  </si>
  <si>
    <t>Total Prop</t>
  </si>
  <si>
    <t>Non-Reg</t>
  </si>
  <si>
    <t>Revenue Increase/  (Decrease)</t>
  </si>
  <si>
    <t>Regulated OH</t>
  </si>
  <si>
    <t>Proposed Rate Increase/ (Decrease)</t>
  </si>
  <si>
    <t>payroll tax %</t>
  </si>
  <si>
    <t>PFIS</t>
  </si>
  <si>
    <t>Variance</t>
  </si>
  <si>
    <t>Price out</t>
  </si>
  <si>
    <t>Adj Cost</t>
  </si>
  <si>
    <t>Jan 2019 Cost</t>
  </si>
  <si>
    <t>Test year ended December 31, 2017</t>
  </si>
  <si>
    <t>For the Year Ending December 31, 2017</t>
  </si>
  <si>
    <t>Whatcom County Fee @ $0.50 per customer</t>
  </si>
  <si>
    <t>Projected</t>
  </si>
  <si>
    <t>Prjocted Price Out</t>
  </si>
  <si>
    <t>Company Adjusted Tariff</t>
  </si>
  <si>
    <t>Company Adjusted Revenue</t>
  </si>
  <si>
    <t>Admin Salaries</t>
  </si>
  <si>
    <t>Cando 2019</t>
  </si>
  <si>
    <t>Percentage</t>
  </si>
  <si>
    <t>Contract Disposal</t>
  </si>
  <si>
    <t>Hours</t>
  </si>
  <si>
    <t>Labor Cost</t>
  </si>
  <si>
    <t>Swamper</t>
  </si>
  <si>
    <t xml:space="preserve">Driver 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</si>
  <si>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</si>
  <si>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</si>
  <si>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</si>
  <si>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</si>
  <si>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</si>
  <si>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</si>
  <si>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</si>
  <si>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</si>
  <si>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</si>
  <si>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</si>
  <si>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</si>
  <si>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</si>
  <si>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</si>
  <si>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</si>
  <si>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</si>
  <si>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Check sum</t>
  </si>
  <si>
    <t>Total Driver HRs</t>
  </si>
  <si>
    <t>Total Swamper HRs</t>
  </si>
  <si>
    <t>Total Hours</t>
  </si>
  <si>
    <t>Jan 2019 Tons</t>
  </si>
  <si>
    <t>Jan 2019 Rate</t>
  </si>
  <si>
    <t>1 can EOW Projected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</si>
</sst>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,##0.0000_);\(#,##0.0000\)"/>
    <numFmt numFmtId="166" formatCode="#,##0.00000_);\(#,##0.00000\)"/>
    <numFmt numFmtId="167" formatCode="0.00000"/>
    <numFmt numFmtId="168" formatCode="0.000%"/>
    <numFmt numFmtId="169" formatCode="_(* #,##0_);_(* \(#,##0\);_(* &quot;-&quot;??_);_(@_)"/>
    <numFmt numFmtId="170" formatCode="General_)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_(* #,##0.000_);_(* \(#,##0.000\);_(* &quot;-&quot;??_);_(@_)"/>
    <numFmt numFmtId="174" formatCode="#,###,##0.00;\(#,###,##0.00\)"/>
    <numFmt numFmtId="175" formatCode="#,###,##0;\(#,###,##0\)"/>
    <numFmt numFmtId="176" formatCode="&quot;$&quot;#,##0.00"/>
    <numFmt numFmtId="177" formatCode="&quot;$&quot;#,##0"/>
    <numFmt numFmtId="178" formatCode="0.0%"/>
  </numFmts>
  <fonts count="85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39"/>
      <name val="Times New Roman"/>
      <family val="1"/>
    </font>
    <font>
      <sz val="12"/>
      <color indexed="39"/>
      <name val="SWISS"/>
    </font>
    <font>
      <sz val="12"/>
      <color indexed="10"/>
      <name val="SWISS"/>
    </font>
    <font>
      <sz val="12"/>
      <color indexed="8"/>
      <name val="SWISS"/>
    </font>
    <font>
      <sz val="10"/>
      <color indexed="1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b/>
      <sz val="14"/>
      <name val="SWISS"/>
    </font>
    <font>
      <sz val="12"/>
      <color indexed="12"/>
      <name val="SWISS"/>
    </font>
    <font>
      <i/>
      <sz val="12"/>
      <name val="SWISS"/>
    </font>
    <font>
      <sz val="12"/>
      <color indexed="56"/>
      <name val="SWISS"/>
    </font>
    <font>
      <b/>
      <sz val="12"/>
      <name val="SWISS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sz val="12"/>
      <color indexed="39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39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8"/>
      <name val="Times New Roman"/>
      <family val="1"/>
    </font>
    <font>
      <sz val="14"/>
      <color indexed="9"/>
      <name val="Calibri"/>
      <family val="2"/>
    </font>
    <font>
      <b/>
      <u/>
      <sz val="12"/>
      <color indexed="39"/>
      <name val="Times New Roman"/>
      <family val="1"/>
    </font>
    <font>
      <sz val="9"/>
      <color indexed="39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SWISS"/>
    </font>
    <font>
      <sz val="8"/>
      <color indexed="9"/>
      <name val="Calibri"/>
      <family val="2"/>
    </font>
    <font>
      <b/>
      <sz val="10"/>
      <name val="SWISS"/>
    </font>
    <font>
      <sz val="9"/>
      <color rgb="FF0070C0"/>
      <name val="SWISS"/>
    </font>
    <font>
      <sz val="12"/>
      <name val="Helv"/>
    </font>
    <font>
      <b/>
      <sz val="16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9"/>
      <name val="Tahoma"/>
      <family val="2"/>
    </font>
    <font>
      <sz val="16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16"/>
      <color indexed="9"/>
      <name val="Bookman Old Style"/>
      <family val="1"/>
    </font>
    <font>
      <sz val="16"/>
      <color indexed="10"/>
      <name val="Tahoma"/>
      <family val="2"/>
    </font>
    <font>
      <b/>
      <sz val="16"/>
      <color indexed="10"/>
      <name val="Bookman Old Style"/>
      <family val="1"/>
    </font>
    <font>
      <b/>
      <sz val="16"/>
      <name val="Arial"/>
      <family val="2"/>
    </font>
    <font>
      <b/>
      <sz val="10"/>
      <color indexed="8"/>
      <name val="ARIAL"/>
      <family val="2"/>
    </font>
    <font>
      <u val="singleAccounting"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7030A0"/>
      <name val="Calibri"/>
      <family val="2"/>
      <scheme val="minor"/>
    </font>
    <font>
      <sz val="10"/>
      <color rgb="FF7030A0"/>
      <name val="Times New Roman"/>
      <family val="1"/>
    </font>
    <font>
      <sz val="11"/>
      <color theme="2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2"/>
      <name val="Times New Roman"/>
      <family val="1"/>
    </font>
    <font>
      <sz val="12"/>
      <color indexed="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0"/>
      <name val="Times New Roman"/>
      <family val="1"/>
    </font>
    <font>
      <sz val="12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SWISS"/>
    </font>
    <font>
      <sz val="12"/>
      <color indexed="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2" tint="-0.249977111117893"/>
      <name val="Times New Roman"/>
      <family val="1"/>
    </font>
    <font>
      <sz val="12"/>
      <color theme="2" tint="-0.249977111117893"/>
      <name val="Times New Roman"/>
      <family val="1"/>
    </font>
    <font>
      <b/>
      <sz val="12"/>
      <color theme="2" tint="-0.249977111117893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9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1">
    <xf numFmtId="0" fontId="0" fillId="2" borderId="0"/>
    <xf numFmtId="0" fontId="29" fillId="6" borderId="0" applyNumberFormat="0" applyBorder="0" applyAlignment="0" applyProtection="0"/>
    <xf numFmtId="41" fontId="4" fillId="3" borderId="0">
      <alignment horizontal="left"/>
    </xf>
    <xf numFmtId="10" fontId="4" fillId="3" borderId="0"/>
    <xf numFmtId="9" fontId="17" fillId="0" borderId="0" applyFont="0" applyFill="0" applyBorder="0" applyAlignment="0" applyProtection="0"/>
    <xf numFmtId="0" fontId="31" fillId="2" borderId="0"/>
    <xf numFmtId="170" fontId="35" fillId="0" borderId="0"/>
    <xf numFmtId="41" fontId="4" fillId="3" borderId="0">
      <alignment horizontal="left"/>
    </xf>
    <xf numFmtId="0" fontId="3" fillId="0" borderId="0"/>
    <xf numFmtId="0" fontId="4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9" borderId="0" applyNumberFormat="0" applyBorder="0" applyAlignment="0" applyProtection="0"/>
    <xf numFmtId="0" fontId="48" fillId="0" borderId="0"/>
    <xf numFmtId="174" fontId="48" fillId="0" borderId="0"/>
    <xf numFmtId="0" fontId="49" fillId="0" borderId="0">
      <alignment vertical="top"/>
    </xf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5" fillId="0" borderId="0"/>
    <xf numFmtId="44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4" fontId="3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9">
    <xf numFmtId="0" fontId="0" fillId="2" borderId="0" xfId="0" applyNumberFormat="1"/>
    <xf numFmtId="0" fontId="0" fillId="2" borderId="0" xfId="0" applyNumberFormat="1" applyAlignment="1">
      <alignment horizontal="center"/>
    </xf>
    <xf numFmtId="0" fontId="4" fillId="2" borderId="0" xfId="0" applyNumberFormat="1" applyFont="1"/>
    <xf numFmtId="0" fontId="0" fillId="2" borderId="2" xfId="0" applyNumberFormat="1" applyBorder="1" applyAlignment="1">
      <alignment horizontal="center"/>
    </xf>
    <xf numFmtId="10" fontId="7" fillId="2" borderId="0" xfId="0" applyNumberFormat="1" applyFont="1" applyBorder="1"/>
    <xf numFmtId="0" fontId="0" fillId="2" borderId="5" xfId="0" applyNumberFormat="1" applyBorder="1" applyAlignment="1">
      <alignment horizontal="center"/>
    </xf>
    <xf numFmtId="165" fontId="0" fillId="2" borderId="0" xfId="0" applyNumberFormat="1" applyBorder="1"/>
    <xf numFmtId="0" fontId="0" fillId="2" borderId="8" xfId="0" applyNumberFormat="1" applyBorder="1" applyAlignment="1">
      <alignment horizontal="center"/>
    </xf>
    <xf numFmtId="165" fontId="0" fillId="2" borderId="9" xfId="0" applyNumberFormat="1" applyBorder="1"/>
    <xf numFmtId="37" fontId="0" fillId="2" borderId="0" xfId="0" applyNumberFormat="1"/>
    <xf numFmtId="165" fontId="0" fillId="2" borderId="0" xfId="0" applyNumberFormat="1"/>
    <xf numFmtId="41" fontId="0" fillId="2" borderId="0" xfId="0" applyNumberFormat="1"/>
    <xf numFmtId="10" fontId="4" fillId="3" borderId="0" xfId="3"/>
    <xf numFmtId="39" fontId="0" fillId="2" borderId="0" xfId="0" applyNumberFormat="1"/>
    <xf numFmtId="164" fontId="0" fillId="2" borderId="0" xfId="0" applyNumberFormat="1"/>
    <xf numFmtId="0" fontId="0" fillId="2" borderId="3" xfId="0" applyNumberFormat="1" applyBorder="1"/>
    <xf numFmtId="0" fontId="0" fillId="2" borderId="4" xfId="0" applyNumberFormat="1" applyBorder="1"/>
    <xf numFmtId="0" fontId="0" fillId="2" borderId="0" xfId="0" applyNumberFormat="1" applyBorder="1"/>
    <xf numFmtId="0" fontId="0" fillId="2" borderId="6" xfId="0" applyNumberFormat="1" applyBorder="1"/>
    <xf numFmtId="0" fontId="0" fillId="2" borderId="0" xfId="0" quotePrefix="1" applyNumberFormat="1" applyBorder="1" applyAlignment="1">
      <alignment horizontal="right"/>
    </xf>
    <xf numFmtId="10" fontId="0" fillId="2" borderId="6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166" fontId="0" fillId="2" borderId="0" xfId="0" applyNumberFormat="1"/>
    <xf numFmtId="0" fontId="0" fillId="2" borderId="2" xfId="0" applyNumberFormat="1" applyBorder="1"/>
    <xf numFmtId="0" fontId="0" fillId="2" borderId="5" xfId="0" applyNumberFormat="1" applyBorder="1"/>
    <xf numFmtId="0" fontId="10" fillId="2" borderId="10" xfId="0" applyNumberFormat="1" applyFont="1" applyBorder="1"/>
    <xf numFmtId="0" fontId="0" fillId="2" borderId="8" xfId="0" applyNumberFormat="1" applyBorder="1"/>
    <xf numFmtId="0" fontId="0" fillId="2" borderId="2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5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"/>
    </xf>
    <xf numFmtId="0" fontId="0" fillId="2" borderId="10" xfId="0" applyNumberFormat="1" applyBorder="1" applyAlignment="1">
      <alignment horizontal="center"/>
    </xf>
    <xf numFmtId="165" fontId="8" fillId="2" borderId="0" xfId="0" applyNumberFormat="1" applyFont="1" applyBorder="1"/>
    <xf numFmtId="0" fontId="8" fillId="2" borderId="5" xfId="0" applyNumberFormat="1" applyFont="1" applyBorder="1" applyAlignment="1">
      <alignment horizontal="center"/>
    </xf>
    <xf numFmtId="0" fontId="12" fillId="2" borderId="11" xfId="0" applyNumberFormat="1" applyFont="1" applyBorder="1" applyAlignment="1">
      <alignment horizontal="centerContinuous"/>
    </xf>
    <xf numFmtId="0" fontId="12" fillId="2" borderId="12" xfId="0" applyNumberFormat="1" applyFont="1" applyBorder="1" applyAlignment="1">
      <alignment horizontal="centerContinuous"/>
    </xf>
    <xf numFmtId="0" fontId="0" fillId="2" borderId="12" xfId="0" applyNumberFormat="1" applyBorder="1" applyAlignment="1">
      <alignment horizontal="centerContinuous"/>
    </xf>
    <xf numFmtId="0" fontId="13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0" fontId="13" fillId="4" borderId="0" xfId="0" applyNumberFormat="1" applyFont="1" applyFill="1"/>
    <xf numFmtId="0" fontId="13" fillId="4" borderId="13" xfId="0" applyNumberFormat="1" applyFont="1" applyFill="1" applyBorder="1"/>
    <xf numFmtId="0" fontId="0" fillId="4" borderId="0" xfId="0" applyNumberFormat="1" applyFill="1"/>
    <xf numFmtId="0" fontId="10" fillId="4" borderId="0" xfId="0" applyNumberFormat="1" applyFont="1" applyFill="1"/>
    <xf numFmtId="0" fontId="6" fillId="4" borderId="0" xfId="0" applyNumberFormat="1" applyFont="1" applyFill="1"/>
    <xf numFmtId="10" fontId="0" fillId="4" borderId="0" xfId="0" applyNumberFormat="1" applyFill="1"/>
    <xf numFmtId="0" fontId="11" fillId="4" borderId="0" xfId="0" applyNumberFormat="1" applyFont="1" applyFill="1"/>
    <xf numFmtId="2" fontId="11" fillId="4" borderId="0" xfId="0" applyNumberFormat="1" applyFont="1" applyFill="1"/>
    <xf numFmtId="41" fontId="0" fillId="4" borderId="0" xfId="0" applyNumberFormat="1" applyFill="1"/>
    <xf numFmtId="0" fontId="0" fillId="4" borderId="0" xfId="0" applyNumberFormat="1" applyFill="1" applyAlignment="1">
      <alignment horizontal="right"/>
    </xf>
    <xf numFmtId="0" fontId="10" fillId="4" borderId="0" xfId="0" applyNumberFormat="1" applyFont="1" applyFill="1" applyAlignment="1">
      <alignment horizontal="fill"/>
    </xf>
    <xf numFmtId="0" fontId="0" fillId="3" borderId="0" xfId="0" applyNumberFormat="1" applyFill="1"/>
    <xf numFmtId="167" fontId="0" fillId="2" borderId="0" xfId="0" applyNumberFormat="1"/>
    <xf numFmtId="0" fontId="0" fillId="2" borderId="2" xfId="0" applyNumberFormat="1" applyBorder="1" applyAlignment="1">
      <alignment horizontal="left"/>
    </xf>
    <xf numFmtId="0" fontId="0" fillId="2" borderId="5" xfId="0" applyNumberFormat="1" applyBorder="1" applyAlignment="1">
      <alignment horizontal="left"/>
    </xf>
    <xf numFmtId="167" fontId="0" fillId="2" borderId="6" xfId="0" applyNumberFormat="1" applyBorder="1" applyAlignment="1">
      <alignment horizontal="center"/>
    </xf>
    <xf numFmtId="0" fontId="0" fillId="2" borderId="9" xfId="0" applyNumberFormat="1" applyBorder="1" applyAlignment="1">
      <alignment horizontal="right"/>
    </xf>
    <xf numFmtId="167" fontId="0" fillId="2" borderId="10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14" fillId="2" borderId="0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left"/>
    </xf>
    <xf numFmtId="0" fontId="0" fillId="2" borderId="3" xfId="0" applyNumberFormat="1" applyBorder="1" applyAlignment="1">
      <alignment horizontal="left"/>
    </xf>
    <xf numFmtId="167" fontId="15" fillId="2" borderId="3" xfId="0" applyNumberFormat="1" applyFont="1" applyBorder="1" applyAlignment="1">
      <alignment horizontal="center"/>
    </xf>
    <xf numFmtId="167" fontId="15" fillId="2" borderId="0" xfId="0" applyNumberFormat="1" applyFont="1" applyBorder="1" applyAlignment="1">
      <alignment horizontal="center"/>
    </xf>
    <xf numFmtId="167" fontId="15" fillId="2" borderId="4" xfId="0" applyNumberFormat="1" applyFont="1" applyBorder="1" applyAlignment="1">
      <alignment horizontal="center"/>
    </xf>
    <xf numFmtId="10" fontId="0" fillId="2" borderId="0" xfId="0" applyNumberFormat="1" applyAlignment="1">
      <alignment horizontal="center"/>
    </xf>
    <xf numFmtId="167" fontId="15" fillId="2" borderId="6" xfId="0" applyNumberFormat="1" applyFont="1" applyBorder="1" applyAlignment="1">
      <alignment horizontal="center"/>
    </xf>
    <xf numFmtId="0" fontId="16" fillId="2" borderId="0" xfId="0" applyNumberFormat="1" applyFont="1" applyBorder="1" applyAlignment="1">
      <alignment horizontal="centerContinuous"/>
    </xf>
    <xf numFmtId="167" fontId="15" fillId="2" borderId="9" xfId="0" applyNumberFormat="1" applyFont="1" applyBorder="1" applyAlignment="1">
      <alignment horizontal="left"/>
    </xf>
    <xf numFmtId="0" fontId="13" fillId="0" borderId="5" xfId="0" applyNumberFormat="1" applyFont="1" applyFill="1" applyBorder="1"/>
    <xf numFmtId="0" fontId="0" fillId="2" borderId="14" xfId="0" applyNumberFormat="1" applyBorder="1"/>
    <xf numFmtId="0" fontId="18" fillId="2" borderId="0" xfId="0" applyNumberFormat="1" applyFont="1"/>
    <xf numFmtId="41" fontId="18" fillId="2" borderId="0" xfId="0" applyNumberFormat="1" applyFont="1"/>
    <xf numFmtId="0" fontId="19" fillId="2" borderId="0" xfId="0" applyNumberFormat="1" applyFont="1"/>
    <xf numFmtId="0" fontId="20" fillId="2" borderId="0" xfId="0" applyNumberFormat="1" applyFont="1"/>
    <xf numFmtId="0" fontId="21" fillId="2" borderId="0" xfId="0" applyNumberFormat="1" applyFont="1"/>
    <xf numFmtId="0" fontId="22" fillId="5" borderId="0" xfId="0" applyNumberFormat="1" applyFont="1" applyFill="1" applyAlignment="1">
      <alignment horizontal="center"/>
    </xf>
    <xf numFmtId="0" fontId="23" fillId="5" borderId="0" xfId="0" applyNumberFormat="1" applyFont="1" applyFill="1" applyAlignment="1">
      <alignment horizontal="center"/>
    </xf>
    <xf numFmtId="0" fontId="21" fillId="2" borderId="0" xfId="0" applyNumberFormat="1" applyFont="1" applyAlignment="1">
      <alignment horizontal="right"/>
    </xf>
    <xf numFmtId="41" fontId="21" fillId="2" borderId="0" xfId="0" applyNumberFormat="1" applyFont="1"/>
    <xf numFmtId="41" fontId="21" fillId="2" borderId="7" xfId="0" applyNumberFormat="1" applyFont="1" applyBorder="1"/>
    <xf numFmtId="5" fontId="21" fillId="2" borderId="7" xfId="0" applyNumberFormat="1" applyFont="1" applyBorder="1"/>
    <xf numFmtId="10" fontId="21" fillId="2" borderId="0" xfId="0" applyNumberFormat="1" applyFont="1" applyAlignment="1">
      <alignment horizontal="right"/>
    </xf>
    <xf numFmtId="0" fontId="24" fillId="2" borderId="0" xfId="0" applyNumberFormat="1" applyFont="1" applyAlignment="1">
      <alignment horizontal="right"/>
    </xf>
    <xf numFmtId="41" fontId="24" fillId="2" borderId="0" xfId="0" applyNumberFormat="1" applyFont="1" applyAlignment="1">
      <alignment horizontal="center"/>
    </xf>
    <xf numFmtId="0" fontId="24" fillId="2" borderId="0" xfId="0" applyNumberFormat="1" applyFont="1" applyAlignment="1">
      <alignment horizontal="center"/>
    </xf>
    <xf numFmtId="41" fontId="21" fillId="2" borderId="0" xfId="0" applyNumberFormat="1" applyFont="1" applyBorder="1" applyProtection="1">
      <protection locked="0"/>
    </xf>
    <xf numFmtId="10" fontId="21" fillId="2" borderId="0" xfId="0" applyNumberFormat="1" applyFont="1" applyAlignment="1">
      <alignment horizontal="center"/>
    </xf>
    <xf numFmtId="10" fontId="21" fillId="2" borderId="0" xfId="0" applyNumberFormat="1" applyFont="1"/>
    <xf numFmtId="41" fontId="21" fillId="2" borderId="9" xfId="0" applyNumberFormat="1" applyFont="1" applyBorder="1" applyProtection="1">
      <protection locked="0"/>
    </xf>
    <xf numFmtId="9" fontId="21" fillId="2" borderId="0" xfId="0" applyNumberFormat="1" applyFont="1" applyAlignment="1">
      <alignment horizontal="center"/>
    </xf>
    <xf numFmtId="0" fontId="21" fillId="2" borderId="0" xfId="0" quotePrefix="1" applyNumberFormat="1" applyFont="1" applyAlignment="1">
      <alignment horizontal="left"/>
    </xf>
    <xf numFmtId="39" fontId="21" fillId="2" borderId="0" xfId="0" applyNumberFormat="1" applyFont="1"/>
    <xf numFmtId="0" fontId="25" fillId="2" borderId="0" xfId="0" applyNumberFormat="1" applyFont="1"/>
    <xf numFmtId="0" fontId="22" fillId="5" borderId="9" xfId="0" applyNumberFormat="1" applyFont="1" applyFill="1" applyBorder="1"/>
    <xf numFmtId="0" fontId="23" fillId="5" borderId="9" xfId="0" applyNumberFormat="1" applyFont="1" applyFill="1" applyBorder="1"/>
    <xf numFmtId="0" fontId="23" fillId="5" borderId="9" xfId="0" applyNumberFormat="1" applyFont="1" applyFill="1" applyBorder="1" applyAlignment="1">
      <alignment horizontal="center"/>
    </xf>
    <xf numFmtId="0" fontId="26" fillId="6" borderId="16" xfId="1" applyNumberFormat="1" applyFont="1" applyBorder="1" applyAlignment="1">
      <alignment horizontal="centerContinuous"/>
    </xf>
    <xf numFmtId="0" fontId="26" fillId="6" borderId="16" xfId="1" applyNumberFormat="1" applyFont="1" applyBorder="1" applyAlignment="1">
      <alignment horizontal="left"/>
    </xf>
    <xf numFmtId="0" fontId="18" fillId="2" borderId="0" xfId="0" applyNumberFormat="1" applyFont="1" applyBorder="1"/>
    <xf numFmtId="0" fontId="22" fillId="3" borderId="0" xfId="0" applyNumberFormat="1" applyFont="1" applyFill="1" applyBorder="1" applyAlignment="1">
      <alignment horizontal="centerContinuous"/>
    </xf>
    <xf numFmtId="0" fontId="27" fillId="2" borderId="0" xfId="0" applyNumberFormat="1" applyFont="1"/>
    <xf numFmtId="0" fontId="23" fillId="2" borderId="0" xfId="0" applyNumberFormat="1" applyFont="1"/>
    <xf numFmtId="0" fontId="27" fillId="2" borderId="0" xfId="0" applyNumberFormat="1" applyFont="1" applyAlignment="1">
      <alignment horizontal="right"/>
    </xf>
    <xf numFmtId="41" fontId="21" fillId="2" borderId="0" xfId="0" applyNumberFormat="1" applyFont="1" applyBorder="1"/>
    <xf numFmtId="41" fontId="21" fillId="2" borderId="1" xfId="0" applyNumberFormat="1" applyFont="1" applyBorder="1"/>
    <xf numFmtId="0" fontId="23" fillId="2" borderId="0" xfId="0" applyNumberFormat="1" applyFont="1" applyAlignment="1">
      <alignment horizontal="center"/>
    </xf>
    <xf numFmtId="0" fontId="23" fillId="2" borderId="9" xfId="0" applyNumberFormat="1" applyFont="1" applyBorder="1" applyAlignment="1">
      <alignment horizontal="right"/>
    </xf>
    <xf numFmtId="0" fontId="5" fillId="2" borderId="0" xfId="0" applyNumberFormat="1" applyFont="1" applyBorder="1"/>
    <xf numFmtId="0" fontId="4" fillId="2" borderId="0" xfId="0" applyNumberFormat="1" applyFont="1" applyBorder="1"/>
    <xf numFmtId="10" fontId="30" fillId="3" borderId="0" xfId="3" applyFont="1" applyBorder="1"/>
    <xf numFmtId="168" fontId="30" fillId="3" borderId="6" xfId="3" applyNumberFormat="1" applyFont="1" applyBorder="1"/>
    <xf numFmtId="10" fontId="30" fillId="3" borderId="9" xfId="3" applyFont="1" applyBorder="1"/>
    <xf numFmtId="10" fontId="30" fillId="3" borderId="10" xfId="3" applyFont="1" applyBorder="1"/>
    <xf numFmtId="0" fontId="16" fillId="4" borderId="0" xfId="0" applyNumberFormat="1" applyFont="1" applyFill="1"/>
    <xf numFmtId="0" fontId="0" fillId="7" borderId="0" xfId="0" applyNumberFormat="1" applyFill="1" applyBorder="1"/>
    <xf numFmtId="2" fontId="0" fillId="2" borderId="19" xfId="0" applyNumberFormat="1" applyBorder="1" applyAlignment="1">
      <alignment horizontal="center"/>
    </xf>
    <xf numFmtId="165" fontId="0" fillId="2" borderId="20" xfId="0" applyNumberFormat="1" applyBorder="1"/>
    <xf numFmtId="10" fontId="7" fillId="2" borderId="20" xfId="0" applyNumberFormat="1" applyFont="1" applyBorder="1"/>
    <xf numFmtId="41" fontId="0" fillId="2" borderId="21" xfId="0" applyNumberFormat="1" applyBorder="1"/>
    <xf numFmtId="41" fontId="0" fillId="2" borderId="19" xfId="0" applyNumberFormat="1" applyBorder="1"/>
    <xf numFmtId="41" fontId="0" fillId="2" borderId="20" xfId="0" applyNumberFormat="1" applyBorder="1"/>
    <xf numFmtId="2" fontId="0" fillId="2" borderId="5" xfId="0" applyNumberFormat="1" applyBorder="1" applyAlignment="1">
      <alignment horizontal="center"/>
    </xf>
    <xf numFmtId="41" fontId="0" fillId="2" borderId="6" xfId="0" applyNumberFormat="1" applyBorder="1"/>
    <xf numFmtId="41" fontId="0" fillId="2" borderId="5" xfId="0" applyNumberFormat="1" applyBorder="1"/>
    <xf numFmtId="41" fontId="0" fillId="2" borderId="0" xfId="0" applyNumberFormat="1" applyBorder="1"/>
    <xf numFmtId="168" fontId="21" fillId="2" borderId="0" xfId="0" applyNumberFormat="1" applyFont="1"/>
    <xf numFmtId="169" fontId="21" fillId="2" borderId="0" xfId="0" applyNumberFormat="1" applyFont="1" applyBorder="1" applyProtection="1">
      <protection locked="0"/>
    </xf>
    <xf numFmtId="41" fontId="18" fillId="0" borderId="10" xfId="2" applyFont="1" applyFill="1" applyBorder="1">
      <alignment horizontal="left"/>
    </xf>
    <xf numFmtId="41" fontId="18" fillId="0" borderId="22" xfId="2" applyFont="1" applyFill="1" applyBorder="1">
      <alignment horizontal="left"/>
    </xf>
    <xf numFmtId="10" fontId="18" fillId="0" borderId="22" xfId="3" applyFont="1" applyFill="1" applyBorder="1"/>
    <xf numFmtId="168" fontId="18" fillId="0" borderId="22" xfId="3" applyNumberFormat="1" applyFont="1" applyFill="1" applyBorder="1"/>
    <xf numFmtId="0" fontId="26" fillId="6" borderId="23" xfId="1" applyNumberFormat="1" applyFont="1" applyBorder="1" applyAlignment="1">
      <alignment horizontal="left"/>
    </xf>
    <xf numFmtId="0" fontId="21" fillId="2" borderId="14" xfId="0" applyNumberFormat="1" applyFont="1" applyBorder="1" applyAlignment="1">
      <alignment horizontal="right"/>
    </xf>
    <xf numFmtId="0" fontId="21" fillId="2" borderId="18" xfId="0" applyNumberFormat="1" applyFont="1" applyBorder="1" applyAlignment="1">
      <alignment horizontal="right"/>
    </xf>
    <xf numFmtId="41" fontId="21" fillId="2" borderId="24" xfId="0" applyNumberFormat="1" applyFont="1" applyBorder="1"/>
    <xf numFmtId="168" fontId="21" fillId="2" borderId="24" xfId="0" applyNumberFormat="1" applyFont="1" applyBorder="1"/>
    <xf numFmtId="0" fontId="18" fillId="2" borderId="25" xfId="0" applyNumberFormat="1" applyFont="1" applyBorder="1"/>
    <xf numFmtId="0" fontId="21" fillId="2" borderId="5" xfId="0" applyNumberFormat="1" applyFont="1" applyBorder="1"/>
    <xf numFmtId="0" fontId="21" fillId="2" borderId="8" xfId="0" applyNumberFormat="1" applyFont="1" applyBorder="1"/>
    <xf numFmtId="0" fontId="21" fillId="2" borderId="26" xfId="0" applyNumberFormat="1" applyFont="1" applyBorder="1" applyAlignment="1">
      <alignment horizontal="center"/>
    </xf>
    <xf numFmtId="0" fontId="21" fillId="2" borderId="14" xfId="0" applyNumberFormat="1" applyFont="1" applyBorder="1" applyAlignment="1">
      <alignment horizontal="center"/>
    </xf>
    <xf numFmtId="10" fontId="21" fillId="2" borderId="24" xfId="0" applyNumberFormat="1" applyFont="1" applyBorder="1" applyAlignment="1">
      <alignment horizontal="center"/>
    </xf>
    <xf numFmtId="0" fontId="18" fillId="2" borderId="0" xfId="0" applyNumberFormat="1" applyFont="1" applyAlignment="1">
      <alignment horizontal="right"/>
    </xf>
    <xf numFmtId="0" fontId="22" fillId="5" borderId="0" xfId="0" applyNumberFormat="1" applyFont="1" applyFill="1" applyBorder="1" applyAlignment="1">
      <alignment horizontal="right"/>
    </xf>
    <xf numFmtId="0" fontId="0" fillId="2" borderId="9" xfId="0" applyNumberFormat="1" applyFont="1" applyBorder="1"/>
    <xf numFmtId="39" fontId="0" fillId="2" borderId="2" xfId="0" applyNumberFormat="1" applyFont="1" applyBorder="1" applyAlignment="1">
      <alignment horizontal="center"/>
    </xf>
    <xf numFmtId="0" fontId="0" fillId="2" borderId="3" xfId="0" quotePrefix="1" applyNumberFormat="1" applyFont="1" applyBorder="1" applyAlignment="1">
      <alignment horizontal="left"/>
    </xf>
    <xf numFmtId="0" fontId="0" fillId="2" borderId="5" xfId="0" applyNumberFormat="1" applyFont="1" applyBorder="1" applyAlignment="1">
      <alignment horizontal="center"/>
    </xf>
    <xf numFmtId="0" fontId="0" fillId="2" borderId="0" xfId="0" quotePrefix="1" applyNumberFormat="1" applyFont="1" applyBorder="1" applyAlignment="1">
      <alignment horizontal="left"/>
    </xf>
    <xf numFmtId="0" fontId="0" fillId="2" borderId="0" xfId="0" applyNumberFormat="1" applyFont="1" applyBorder="1"/>
    <xf numFmtId="10" fontId="0" fillId="2" borderId="8" xfId="0" applyNumberFormat="1" applyFont="1" applyBorder="1" applyAlignment="1">
      <alignment horizontal="center"/>
    </xf>
    <xf numFmtId="0" fontId="0" fillId="2" borderId="21" xfId="0" applyNumberFormat="1" applyBorder="1"/>
    <xf numFmtId="0" fontId="0" fillId="2" borderId="19" xfId="0" applyNumberFormat="1" applyBorder="1"/>
    <xf numFmtId="0" fontId="5" fillId="2" borderId="20" xfId="0" applyNumberFormat="1" applyFont="1" applyBorder="1"/>
    <xf numFmtId="0" fontId="5" fillId="2" borderId="5" xfId="0" applyNumberFormat="1" applyFont="1" applyBorder="1"/>
    <xf numFmtId="0" fontId="5" fillId="2" borderId="6" xfId="0" applyNumberFormat="1" applyFont="1" applyBorder="1"/>
    <xf numFmtId="10" fontId="30" fillId="3" borderId="6" xfId="3" applyFont="1" applyBorder="1"/>
    <xf numFmtId="0" fontId="9" fillId="2" borderId="0" xfId="0" applyNumberFormat="1" applyFont="1" applyBorder="1"/>
    <xf numFmtId="39" fontId="0" fillId="2" borderId="9" xfId="0" applyNumberFormat="1" applyBorder="1"/>
    <xf numFmtId="164" fontId="0" fillId="2" borderId="9" xfId="0" applyNumberFormat="1" applyBorder="1"/>
    <xf numFmtId="165" fontId="0" fillId="2" borderId="10" xfId="0" applyNumberFormat="1" applyBorder="1"/>
    <xf numFmtId="0" fontId="0" fillId="2" borderId="20" xfId="0" applyNumberFormat="1" applyBorder="1"/>
    <xf numFmtId="10" fontId="0" fillId="2" borderId="0" xfId="0" applyNumberFormat="1" applyBorder="1"/>
    <xf numFmtId="10" fontId="0" fillId="2" borderId="9" xfId="0" applyNumberFormat="1" applyBorder="1"/>
    <xf numFmtId="0" fontId="33" fillId="2" borderId="3" xfId="0" applyNumberFormat="1" applyFont="1" applyBorder="1" applyAlignment="1">
      <alignment horizontal="center"/>
    </xf>
    <xf numFmtId="0" fontId="33" fillId="2" borderId="4" xfId="0" applyNumberFormat="1" applyFont="1" applyBorder="1" applyAlignment="1">
      <alignment horizontal="center"/>
    </xf>
    <xf numFmtId="10" fontId="0" fillId="2" borderId="6" xfId="0" applyNumberFormat="1" applyBorder="1" applyAlignment="1">
      <alignment horizontal="right"/>
    </xf>
    <xf numFmtId="0" fontId="32" fillId="6" borderId="17" xfId="1" applyNumberFormat="1" applyFont="1" applyBorder="1" applyAlignment="1">
      <alignment horizontal="centerContinuous"/>
    </xf>
    <xf numFmtId="0" fontId="26" fillId="6" borderId="11" xfId="1" applyNumberFormat="1" applyFont="1" applyBorder="1" applyAlignment="1">
      <alignment horizontal="left"/>
    </xf>
    <xf numFmtId="168" fontId="21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31" fillId="2" borderId="0" xfId="5" applyNumberFormat="1"/>
    <xf numFmtId="0" fontId="21" fillId="2" borderId="0" xfId="5" applyNumberFormat="1" applyFont="1" applyBorder="1" applyAlignment="1">
      <alignment horizontal="right"/>
    </xf>
    <xf numFmtId="41" fontId="21" fillId="2" borderId="0" xfId="5" applyNumberFormat="1" applyFont="1" applyBorder="1"/>
    <xf numFmtId="0" fontId="28" fillId="2" borderId="0" xfId="5" applyNumberFormat="1" applyFont="1" applyBorder="1" applyAlignment="1">
      <alignment horizontal="left"/>
    </xf>
    <xf numFmtId="0" fontId="31" fillId="2" borderId="0" xfId="5" applyNumberFormat="1" applyBorder="1"/>
    <xf numFmtId="0" fontId="18" fillId="2" borderId="5" xfId="0" applyNumberFormat="1" applyFont="1" applyBorder="1"/>
    <xf numFmtId="0" fontId="34" fillId="2" borderId="0" xfId="0" applyNumberFormat="1" applyFont="1" applyAlignment="1">
      <alignment horizontal="center"/>
    </xf>
    <xf numFmtId="170" fontId="35" fillId="8" borderId="0" xfId="6" applyFill="1"/>
    <xf numFmtId="170" fontId="35" fillId="0" borderId="0" xfId="6"/>
    <xf numFmtId="170" fontId="36" fillId="8" borderId="0" xfId="6" applyFont="1" applyFill="1"/>
    <xf numFmtId="170" fontId="37" fillId="8" borderId="0" xfId="6" applyFont="1" applyFill="1"/>
    <xf numFmtId="0" fontId="21" fillId="2" borderId="0" xfId="5" applyNumberFormat="1" applyFont="1" applyAlignment="1">
      <alignment horizontal="right"/>
    </xf>
    <xf numFmtId="10" fontId="21" fillId="2" borderId="0" xfId="5" applyNumberFormat="1" applyFont="1" applyAlignment="1">
      <alignment horizontal="right"/>
    </xf>
    <xf numFmtId="41" fontId="18" fillId="3" borderId="0" xfId="7" applyFont="1" applyAlignment="1">
      <alignment horizontal="right"/>
    </xf>
    <xf numFmtId="0" fontId="31" fillId="2" borderId="0" xfId="5" applyNumberFormat="1" applyAlignment="1">
      <alignment horizontal="right"/>
    </xf>
    <xf numFmtId="0" fontId="18" fillId="2" borderId="0" xfId="5" applyNumberFormat="1" applyFont="1"/>
    <xf numFmtId="0" fontId="22" fillId="5" borderId="19" xfId="5" applyNumberFormat="1" applyFont="1" applyFill="1" applyBorder="1" applyAlignment="1">
      <alignment horizontal="left"/>
    </xf>
    <xf numFmtId="0" fontId="31" fillId="2" borderId="20" xfId="5" applyNumberFormat="1" applyBorder="1"/>
    <xf numFmtId="0" fontId="31" fillId="2" borderId="21" xfId="5" applyNumberFormat="1" applyBorder="1"/>
    <xf numFmtId="0" fontId="18" fillId="2" borderId="5" xfId="5" applyNumberFormat="1" applyFont="1" applyBorder="1"/>
    <xf numFmtId="41" fontId="21" fillId="2" borderId="6" xfId="5" applyNumberFormat="1" applyFont="1" applyBorder="1"/>
    <xf numFmtId="0" fontId="23" fillId="2" borderId="0" xfId="5" applyNumberFormat="1" applyFont="1" applyBorder="1" applyAlignment="1">
      <alignment horizontal="right"/>
    </xf>
    <xf numFmtId="41" fontId="23" fillId="2" borderId="27" xfId="5" applyNumberFormat="1" applyFont="1" applyBorder="1"/>
    <xf numFmtId="41" fontId="23" fillId="2" borderId="28" xfId="5" applyNumberFormat="1" applyFont="1" applyBorder="1"/>
    <xf numFmtId="0" fontId="31" fillId="2" borderId="8" xfId="5" applyNumberFormat="1" applyBorder="1"/>
    <xf numFmtId="0" fontId="31" fillId="2" borderId="9" xfId="5" applyNumberFormat="1" applyBorder="1"/>
    <xf numFmtId="0" fontId="31" fillId="2" borderId="10" xfId="5" applyNumberFormat="1" applyBorder="1"/>
    <xf numFmtId="0" fontId="23" fillId="2" borderId="9" xfId="0" applyNumberFormat="1" applyFont="1" applyBorder="1" applyAlignment="1">
      <alignment horizontal="center"/>
    </xf>
    <xf numFmtId="0" fontId="21" fillId="2" borderId="0" xfId="0" applyNumberFormat="1" applyFont="1" applyBorder="1"/>
    <xf numFmtId="10" fontId="21" fillId="2" borderId="0" xfId="0" applyNumberFormat="1" applyFont="1" applyBorder="1"/>
    <xf numFmtId="0" fontId="23" fillId="2" borderId="14" xfId="0" applyNumberFormat="1" applyFont="1" applyBorder="1" applyAlignment="1">
      <alignment horizontal="right"/>
    </xf>
    <xf numFmtId="0" fontId="21" fillId="2" borderId="29" xfId="5" applyNumberFormat="1" applyFont="1" applyBorder="1" applyAlignment="1">
      <alignment horizontal="right"/>
    </xf>
    <xf numFmtId="170" fontId="39" fillId="0" borderId="0" xfId="6" applyFont="1"/>
    <xf numFmtId="170" fontId="40" fillId="0" borderId="0" xfId="6" applyFont="1"/>
    <xf numFmtId="0" fontId="44" fillId="0" borderId="0" xfId="8" applyFont="1" applyFill="1"/>
    <xf numFmtId="0" fontId="45" fillId="0" borderId="0" xfId="8" applyFont="1" applyFill="1"/>
    <xf numFmtId="9" fontId="44" fillId="0" borderId="0" xfId="8" applyNumberFormat="1" applyFont="1" applyFill="1"/>
    <xf numFmtId="0" fontId="44" fillId="0" borderId="9" xfId="8" applyFont="1" applyFill="1" applyBorder="1"/>
    <xf numFmtId="0" fontId="44" fillId="0" borderId="9" xfId="8" applyFont="1" applyFill="1" applyBorder="1" applyAlignment="1">
      <alignment wrapText="1"/>
    </xf>
    <xf numFmtId="0" fontId="45" fillId="0" borderId="9" xfId="8" applyFont="1" applyFill="1" applyBorder="1" applyAlignment="1">
      <alignment horizontal="center" vertical="center"/>
    </xf>
    <xf numFmtId="0" fontId="44" fillId="0" borderId="9" xfId="8" applyFont="1" applyFill="1" applyBorder="1" applyAlignment="1">
      <alignment horizontal="center" wrapText="1"/>
    </xf>
    <xf numFmtId="0" fontId="44" fillId="0" borderId="0" xfId="8" applyFont="1" applyFill="1" applyBorder="1" applyAlignment="1">
      <alignment horizontal="center" vertical="center"/>
    </xf>
    <xf numFmtId="0" fontId="44" fillId="0" borderId="0" xfId="8" applyFont="1" applyFill="1" applyBorder="1" applyAlignment="1">
      <alignment vertical="center"/>
    </xf>
    <xf numFmtId="3" fontId="44" fillId="0" borderId="0" xfId="8" applyNumberFormat="1" applyFont="1" applyFill="1" applyBorder="1"/>
    <xf numFmtId="169" fontId="44" fillId="0" borderId="0" xfId="8" applyNumberFormat="1" applyFont="1" applyFill="1" applyBorder="1"/>
    <xf numFmtId="0" fontId="44" fillId="0" borderId="9" xfId="8" applyFont="1" applyFill="1" applyBorder="1" applyAlignment="1">
      <alignment horizontal="center" vertical="center"/>
    </xf>
    <xf numFmtId="0" fontId="44" fillId="0" borderId="9" xfId="8" applyFont="1" applyFill="1" applyBorder="1" applyAlignment="1">
      <alignment vertical="center"/>
    </xf>
    <xf numFmtId="3" fontId="44" fillId="0" borderId="9" xfId="8" applyNumberFormat="1" applyFont="1" applyFill="1" applyBorder="1"/>
    <xf numFmtId="169" fontId="44" fillId="0" borderId="9" xfId="8" applyNumberFormat="1" applyFont="1" applyFill="1" applyBorder="1"/>
    <xf numFmtId="0" fontId="44" fillId="0" borderId="30" xfId="8" applyFont="1" applyFill="1" applyBorder="1" applyAlignment="1">
      <alignment horizontal="center" vertical="center" textRotation="90"/>
    </xf>
    <xf numFmtId="3" fontId="45" fillId="0" borderId="0" xfId="8" applyNumberFormat="1" applyFont="1" applyFill="1" applyBorder="1"/>
    <xf numFmtId="169" fontId="45" fillId="0" borderId="0" xfId="8" applyNumberFormat="1" applyFont="1" applyFill="1" applyBorder="1"/>
    <xf numFmtId="171" fontId="45" fillId="0" borderId="0" xfId="8" applyNumberFormat="1" applyFont="1" applyFill="1" applyBorder="1"/>
    <xf numFmtId="0" fontId="44" fillId="0" borderId="20" xfId="8" applyFont="1" applyFill="1" applyBorder="1" applyAlignment="1">
      <alignment vertical="center"/>
    </xf>
    <xf numFmtId="3" fontId="44" fillId="0" borderId="20" xfId="8" applyNumberFormat="1" applyFont="1" applyFill="1" applyBorder="1"/>
    <xf numFmtId="169" fontId="44" fillId="0" borderId="20" xfId="8" applyNumberFormat="1" applyFont="1" applyFill="1" applyBorder="1"/>
    <xf numFmtId="43" fontId="44" fillId="0" borderId="0" xfId="8" applyNumberFormat="1" applyFont="1" applyFill="1" applyBorder="1"/>
    <xf numFmtId="0" fontId="44" fillId="0" borderId="9" xfId="8" applyFont="1" applyFill="1" applyBorder="1" applyAlignment="1">
      <alignment horizontal="center" vertical="center" textRotation="90"/>
    </xf>
    <xf numFmtId="0" fontId="44" fillId="0" borderId="30" xfId="8" applyFont="1" applyFill="1" applyBorder="1"/>
    <xf numFmtId="3" fontId="45" fillId="0" borderId="9" xfId="8" applyNumberFormat="1" applyFont="1" applyFill="1" applyBorder="1"/>
    <xf numFmtId="169" fontId="45" fillId="0" borderId="9" xfId="8" applyNumberFormat="1" applyFont="1" applyFill="1" applyBorder="1"/>
    <xf numFmtId="171" fontId="45" fillId="0" borderId="9" xfId="8" applyNumberFormat="1" applyFont="1" applyFill="1" applyBorder="1"/>
    <xf numFmtId="0" fontId="44" fillId="0" borderId="30" xfId="8" applyFont="1" applyFill="1" applyBorder="1" applyAlignment="1">
      <alignment vertical="center" textRotation="90"/>
    </xf>
    <xf numFmtId="171" fontId="44" fillId="0" borderId="0" xfId="8" applyNumberFormat="1" applyFont="1" applyFill="1"/>
    <xf numFmtId="0" fontId="44" fillId="0" borderId="0" xfId="8" applyFont="1" applyFill="1" applyBorder="1" applyAlignment="1">
      <alignment wrapText="1"/>
    </xf>
    <xf numFmtId="0" fontId="45" fillId="0" borderId="0" xfId="8" applyFont="1" applyFill="1" applyBorder="1" applyAlignment="1">
      <alignment wrapText="1"/>
    </xf>
    <xf numFmtId="43" fontId="45" fillId="0" borderId="0" xfId="10" applyFont="1" applyFill="1" applyBorder="1" applyAlignment="1">
      <alignment horizontal="center" wrapText="1"/>
    </xf>
    <xf numFmtId="44" fontId="45" fillId="0" borderId="0" xfId="10" applyNumberFormat="1" applyFont="1" applyFill="1" applyBorder="1" applyAlignment="1">
      <alignment horizontal="center" wrapText="1"/>
    </xf>
    <xf numFmtId="171" fontId="45" fillId="0" borderId="9" xfId="10" applyNumberFormat="1" applyFont="1" applyFill="1" applyBorder="1"/>
    <xf numFmtId="44" fontId="45" fillId="0" borderId="30" xfId="10" applyNumberFormat="1" applyFont="1" applyFill="1" applyBorder="1" applyAlignment="1">
      <alignment horizontal="center" wrapText="1"/>
    </xf>
    <xf numFmtId="171" fontId="45" fillId="0" borderId="30" xfId="10" applyNumberFormat="1" applyFont="1" applyFill="1" applyBorder="1" applyAlignment="1">
      <alignment horizontal="center" wrapText="1"/>
    </xf>
    <xf numFmtId="0" fontId="44" fillId="0" borderId="27" xfId="8" applyFont="1" applyFill="1" applyBorder="1"/>
    <xf numFmtId="0" fontId="44" fillId="0" borderId="30" xfId="8" applyFont="1" applyFill="1" applyBorder="1" applyAlignment="1">
      <alignment wrapText="1"/>
    </xf>
    <xf numFmtId="169" fontId="45" fillId="0" borderId="30" xfId="8" applyNumberFormat="1" applyFont="1" applyFill="1" applyBorder="1"/>
    <xf numFmtId="0" fontId="44" fillId="0" borderId="30" xfId="8" applyFont="1" applyFill="1" applyBorder="1" applyAlignment="1">
      <alignment horizontal="center" wrapText="1"/>
    </xf>
    <xf numFmtId="171" fontId="45" fillId="0" borderId="30" xfId="8" applyNumberFormat="1" applyFont="1" applyFill="1" applyBorder="1"/>
    <xf numFmtId="3" fontId="45" fillId="0" borderId="27" xfId="8" applyNumberFormat="1" applyFont="1" applyFill="1" applyBorder="1"/>
    <xf numFmtId="171" fontId="45" fillId="0" borderId="27" xfId="8" applyNumberFormat="1" applyFont="1" applyFill="1" applyBorder="1"/>
    <xf numFmtId="0" fontId="44" fillId="0" borderId="0" xfId="8" applyFont="1" applyFill="1" applyBorder="1" applyAlignment="1">
      <alignment horizontal="center" vertical="center" textRotation="90"/>
    </xf>
    <xf numFmtId="43" fontId="44" fillId="0" borderId="9" xfId="8" applyNumberFormat="1" applyFont="1" applyFill="1" applyBorder="1"/>
    <xf numFmtId="0" fontId="44" fillId="0" borderId="0" xfId="8" applyFont="1" applyFill="1" applyBorder="1" applyAlignment="1">
      <alignment horizontal="right"/>
    </xf>
    <xf numFmtId="0" fontId="44" fillId="0" borderId="0" xfId="8" applyFont="1" applyFill="1" applyBorder="1"/>
    <xf numFmtId="0" fontId="44" fillId="0" borderId="0" xfId="8" applyFont="1" applyFill="1" applyAlignment="1">
      <alignment horizontal="right"/>
    </xf>
    <xf numFmtId="171" fontId="44" fillId="0" borderId="0" xfId="8" applyNumberFormat="1" applyFont="1" applyFill="1" applyBorder="1"/>
    <xf numFmtId="43" fontId="44" fillId="0" borderId="0" xfId="8" applyNumberFormat="1" applyFont="1" applyFill="1"/>
    <xf numFmtId="171" fontId="44" fillId="7" borderId="9" xfId="8" applyNumberFormat="1" applyFont="1" applyFill="1" applyBorder="1"/>
    <xf numFmtId="0" fontId="44" fillId="0" borderId="0" xfId="8" applyFont="1" applyFill="1" applyBorder="1" applyAlignment="1">
      <alignment horizontal="left"/>
    </xf>
    <xf numFmtId="0" fontId="44" fillId="0" borderId="0" xfId="8" applyFont="1" applyFill="1" applyBorder="1" applyAlignment="1">
      <alignment horizontal="right" wrapText="1"/>
    </xf>
    <xf numFmtId="0" fontId="44" fillId="0" borderId="0" xfId="8" applyFont="1" applyFill="1" applyBorder="1" applyAlignment="1">
      <alignment horizontal="center" wrapText="1"/>
    </xf>
    <xf numFmtId="44" fontId="44" fillId="0" borderId="0" xfId="8" applyNumberFormat="1" applyFont="1" applyFill="1" applyBorder="1"/>
    <xf numFmtId="173" fontId="44" fillId="0" borderId="0" xfId="8" applyNumberFormat="1" applyFont="1" applyFill="1" applyBorder="1"/>
    <xf numFmtId="0" fontId="46" fillId="0" borderId="0" xfId="9" applyFont="1" applyFill="1" applyBorder="1" applyAlignment="1">
      <alignment horizontal="left"/>
    </xf>
    <xf numFmtId="43" fontId="46" fillId="0" borderId="0" xfId="10" applyFont="1" applyFill="1" applyBorder="1"/>
    <xf numFmtId="44" fontId="46" fillId="0" borderId="0" xfId="10" applyNumberFormat="1" applyFont="1" applyFill="1" applyBorder="1"/>
    <xf numFmtId="171" fontId="46" fillId="0" borderId="0" xfId="10" applyNumberFormat="1" applyFont="1" applyFill="1" applyBorder="1"/>
    <xf numFmtId="44" fontId="46" fillId="0" borderId="0" xfId="11" applyNumberFormat="1" applyFont="1" applyFill="1" applyBorder="1"/>
    <xf numFmtId="171" fontId="46" fillId="0" borderId="0" xfId="11" applyNumberFormat="1" applyFont="1" applyFill="1" applyBorder="1"/>
    <xf numFmtId="0" fontId="46" fillId="0" borderId="9" xfId="9" applyFont="1" applyFill="1" applyBorder="1" applyAlignment="1">
      <alignment horizontal="left"/>
    </xf>
    <xf numFmtId="44" fontId="46" fillId="0" borderId="9" xfId="10" applyNumberFormat="1" applyFont="1" applyFill="1" applyBorder="1"/>
    <xf numFmtId="171" fontId="46" fillId="0" borderId="9" xfId="10" applyNumberFormat="1" applyFont="1" applyFill="1" applyBorder="1"/>
    <xf numFmtId="0" fontId="47" fillId="0" borderId="0" xfId="9" applyFont="1" applyFill="1" applyBorder="1" applyAlignment="1">
      <alignment horizontal="left"/>
    </xf>
    <xf numFmtId="43" fontId="46" fillId="0" borderId="30" xfId="10" applyFont="1" applyFill="1" applyBorder="1"/>
    <xf numFmtId="44" fontId="46" fillId="0" borderId="30" xfId="10" applyNumberFormat="1" applyFont="1" applyFill="1" applyBorder="1"/>
    <xf numFmtId="0" fontId="46" fillId="0" borderId="20" xfId="9" applyFont="1" applyFill="1" applyBorder="1" applyAlignment="1">
      <alignment horizontal="left"/>
    </xf>
    <xf numFmtId="44" fontId="46" fillId="0" borderId="20" xfId="10" applyNumberFormat="1" applyFont="1" applyFill="1" applyBorder="1"/>
    <xf numFmtId="171" fontId="46" fillId="0" borderId="20" xfId="10" applyNumberFormat="1" applyFont="1" applyFill="1" applyBorder="1"/>
    <xf numFmtId="0" fontId="47" fillId="0" borderId="30" xfId="9" applyFont="1" applyFill="1" applyBorder="1" applyAlignment="1">
      <alignment horizontal="left"/>
    </xf>
    <xf numFmtId="43" fontId="46" fillId="0" borderId="9" xfId="10" applyFont="1" applyFill="1" applyBorder="1"/>
    <xf numFmtId="0" fontId="47" fillId="0" borderId="30" xfId="9" applyFont="1" applyFill="1" applyBorder="1" applyAlignment="1">
      <alignment horizontal="center" vertical="center"/>
    </xf>
    <xf numFmtId="43" fontId="46" fillId="0" borderId="0" xfId="10" applyFont="1" applyFill="1" applyBorder="1" applyAlignment="1">
      <alignment wrapText="1"/>
    </xf>
    <xf numFmtId="44" fontId="46" fillId="0" borderId="0" xfId="10" applyNumberFormat="1" applyFont="1" applyFill="1" applyBorder="1" applyAlignment="1">
      <alignment horizontal="center" wrapText="1"/>
    </xf>
    <xf numFmtId="43" fontId="46" fillId="0" borderId="9" xfId="10" applyFont="1" applyFill="1" applyBorder="1" applyAlignment="1">
      <alignment wrapText="1"/>
    </xf>
    <xf numFmtId="44" fontId="46" fillId="0" borderId="9" xfId="10" applyNumberFormat="1" applyFont="1" applyFill="1" applyBorder="1" applyAlignment="1">
      <alignment horizontal="center" wrapText="1"/>
    </xf>
    <xf numFmtId="43" fontId="46" fillId="0" borderId="20" xfId="10" applyFont="1" applyFill="1" applyBorder="1"/>
    <xf numFmtId="0" fontId="47" fillId="0" borderId="27" xfId="9" applyFont="1" applyFill="1" applyBorder="1" applyAlignment="1">
      <alignment horizontal="left"/>
    </xf>
    <xf numFmtId="44" fontId="46" fillId="0" borderId="27" xfId="10" applyNumberFormat="1" applyFont="1" applyFill="1" applyBorder="1"/>
    <xf numFmtId="0" fontId="47" fillId="0" borderId="0" xfId="9" applyFont="1" applyFill="1" applyBorder="1" applyAlignment="1">
      <alignment horizontal="center" vertical="center"/>
    </xf>
    <xf numFmtId="169" fontId="46" fillId="0" borderId="0" xfId="10" applyNumberFormat="1" applyFont="1" applyFill="1" applyBorder="1"/>
    <xf numFmtId="169" fontId="46" fillId="0" borderId="9" xfId="10" applyNumberFormat="1" applyFont="1" applyFill="1" applyBorder="1"/>
    <xf numFmtId="169" fontId="46" fillId="0" borderId="0" xfId="10" applyNumberFormat="1" applyFont="1" applyFill="1"/>
    <xf numFmtId="44" fontId="46" fillId="0" borderId="0" xfId="11" applyFont="1" applyFill="1" applyBorder="1"/>
    <xf numFmtId="10" fontId="46" fillId="0" borderId="0" xfId="12" applyNumberFormat="1" applyFont="1" applyFill="1" applyBorder="1"/>
    <xf numFmtId="172" fontId="46" fillId="0" borderId="0" xfId="11" applyNumberFormat="1" applyFont="1" applyFill="1" applyBorder="1"/>
    <xf numFmtId="0" fontId="48" fillId="0" borderId="0" xfId="14" applyAlignment="1">
      <alignment horizontal="centerContinuous"/>
    </xf>
    <xf numFmtId="174" fontId="48" fillId="0" borderId="0" xfId="15"/>
    <xf numFmtId="49" fontId="48" fillId="0" borderId="0" xfId="15" applyNumberFormat="1" applyAlignment="1">
      <alignment horizontal="centerContinuous"/>
    </xf>
    <xf numFmtId="174" fontId="48" fillId="0" borderId="0" xfId="15" applyAlignment="1">
      <alignment horizontal="centerContinuous"/>
    </xf>
    <xf numFmtId="0" fontId="49" fillId="0" borderId="14" xfId="16" applyBorder="1">
      <alignment vertical="top"/>
    </xf>
    <xf numFmtId="0" fontId="49" fillId="0" borderId="0" xfId="16" applyAlignment="1"/>
    <xf numFmtId="0" fontId="49" fillId="0" borderId="14" xfId="16" applyBorder="1" applyAlignment="1"/>
    <xf numFmtId="0" fontId="49" fillId="0" borderId="0" xfId="16">
      <alignment vertical="top"/>
    </xf>
    <xf numFmtId="10" fontId="0" fillId="0" borderId="0" xfId="17" applyNumberFormat="1" applyFont="1" applyAlignment="1"/>
    <xf numFmtId="0" fontId="48" fillId="0" borderId="0" xfId="14"/>
    <xf numFmtId="0" fontId="49" fillId="0" borderId="0" xfId="16" applyAlignment="1">
      <alignment horizontal="center"/>
    </xf>
    <xf numFmtId="10" fontId="0" fillId="0" borderId="0" xfId="17" applyNumberFormat="1" applyFont="1" applyAlignment="1">
      <alignment horizontal="right"/>
    </xf>
    <xf numFmtId="0" fontId="49" fillId="0" borderId="14" xfId="16" applyBorder="1" applyAlignment="1">
      <alignment horizontal="center"/>
    </xf>
    <xf numFmtId="14" fontId="49" fillId="0" borderId="0" xfId="16" applyNumberFormat="1" applyAlignment="1">
      <alignment horizontal="center"/>
    </xf>
    <xf numFmtId="49" fontId="41" fillId="0" borderId="0" xfId="15" applyNumberFormat="1" applyFont="1" applyAlignment="1">
      <alignment horizontal="center"/>
    </xf>
    <xf numFmtId="174" fontId="41" fillId="0" borderId="0" xfId="15" applyFont="1"/>
    <xf numFmtId="0" fontId="50" fillId="0" borderId="0" xfId="16" applyFont="1" applyAlignment="1">
      <alignment horizontal="center"/>
    </xf>
    <xf numFmtId="49" fontId="41" fillId="0" borderId="13" xfId="15" applyNumberFormat="1" applyFont="1" applyBorder="1" applyAlignment="1">
      <alignment horizontal="center"/>
    </xf>
    <xf numFmtId="49" fontId="48" fillId="0" borderId="13" xfId="15" applyNumberFormat="1" applyFont="1" applyFill="1" applyBorder="1" applyAlignment="1">
      <alignment horizontal="center"/>
    </xf>
    <xf numFmtId="0" fontId="49" fillId="0" borderId="13" xfId="16" applyFont="1" applyBorder="1" applyAlignment="1">
      <alignment horizontal="center"/>
    </xf>
    <xf numFmtId="0" fontId="49" fillId="0" borderId="14" xfId="16" applyFont="1" applyBorder="1" applyAlignment="1"/>
    <xf numFmtId="0" fontId="49" fillId="0" borderId="13" xfId="16" applyFont="1" applyBorder="1" applyAlignment="1"/>
    <xf numFmtId="0" fontId="49" fillId="0" borderId="13" xfId="16" applyBorder="1" applyAlignment="1">
      <alignment horizontal="center"/>
    </xf>
    <xf numFmtId="0" fontId="50" fillId="0" borderId="13" xfId="16" applyFont="1" applyBorder="1" applyAlignment="1">
      <alignment horizontal="center"/>
    </xf>
    <xf numFmtId="0" fontId="48" fillId="0" borderId="0" xfId="14" applyAlignment="1">
      <alignment horizontal="left"/>
    </xf>
    <xf numFmtId="169" fontId="48" fillId="0" borderId="0" xfId="18" applyNumberFormat="1" applyFont="1"/>
    <xf numFmtId="169" fontId="0" fillId="0" borderId="0" xfId="18" applyNumberFormat="1" applyFont="1" applyAlignment="1">
      <alignment vertical="top"/>
    </xf>
    <xf numFmtId="169" fontId="49" fillId="0" borderId="0" xfId="16" applyNumberFormat="1">
      <alignment vertical="top"/>
    </xf>
    <xf numFmtId="49" fontId="48" fillId="0" borderId="0" xfId="15" applyNumberFormat="1" applyAlignment="1">
      <alignment horizontal="fill"/>
    </xf>
    <xf numFmtId="0" fontId="51" fillId="0" borderId="0" xfId="14" applyFont="1" applyAlignment="1">
      <alignment horizontal="left"/>
    </xf>
    <xf numFmtId="169" fontId="51" fillId="0" borderId="0" xfId="18" applyNumberFormat="1" applyFont="1"/>
    <xf numFmtId="175" fontId="51" fillId="0" borderId="14" xfId="15" applyNumberFormat="1" applyFont="1" applyBorder="1"/>
    <xf numFmtId="169" fontId="0" fillId="0" borderId="14" xfId="18" applyNumberFormat="1" applyFont="1" applyBorder="1" applyAlignment="1">
      <alignment vertical="top"/>
    </xf>
    <xf numFmtId="175" fontId="48" fillId="0" borderId="0" xfId="15" applyNumberFormat="1"/>
    <xf numFmtId="10" fontId="48" fillId="0" borderId="0" xfId="17" applyNumberFormat="1" applyFont="1"/>
    <xf numFmtId="175" fontId="51" fillId="0" borderId="0" xfId="15" applyNumberFormat="1" applyFont="1"/>
    <xf numFmtId="0" fontId="49" fillId="0" borderId="0" xfId="16" applyAlignment="1">
      <alignment vertical="top"/>
    </xf>
    <xf numFmtId="0" fontId="48" fillId="0" borderId="0" xfId="14" applyFill="1" applyAlignment="1">
      <alignment horizontal="left"/>
    </xf>
    <xf numFmtId="169" fontId="48" fillId="0" borderId="0" xfId="18" applyNumberFormat="1" applyFont="1" applyFill="1"/>
    <xf numFmtId="0" fontId="2" fillId="0" borderId="31" xfId="19" applyBorder="1"/>
    <xf numFmtId="0" fontId="2" fillId="0" borderId="32" xfId="19" applyBorder="1"/>
    <xf numFmtId="0" fontId="2" fillId="0" borderId="33" xfId="19" applyBorder="1"/>
    <xf numFmtId="0" fontId="2" fillId="0" borderId="0" xfId="19"/>
    <xf numFmtId="0" fontId="2" fillId="0" borderId="5" xfId="19" applyBorder="1"/>
    <xf numFmtId="0" fontId="2" fillId="0" borderId="14" xfId="19" applyBorder="1"/>
    <xf numFmtId="0" fontId="2" fillId="0" borderId="0" xfId="19" applyBorder="1"/>
    <xf numFmtId="0" fontId="2" fillId="0" borderId="26" xfId="19" applyBorder="1"/>
    <xf numFmtId="0" fontId="2" fillId="0" borderId="34" xfId="19" applyBorder="1"/>
    <xf numFmtId="0" fontId="2" fillId="0" borderId="0" xfId="19" applyAlignment="1">
      <alignment horizontal="center"/>
    </xf>
    <xf numFmtId="0" fontId="2" fillId="0" borderId="14" xfId="19" applyBorder="1" applyAlignment="1">
      <alignment horizontal="center"/>
    </xf>
    <xf numFmtId="0" fontId="2" fillId="0" borderId="0" xfId="19" applyBorder="1" applyAlignment="1">
      <alignment horizontal="center"/>
    </xf>
    <xf numFmtId="0" fontId="2" fillId="0" borderId="34" xfId="19" applyFill="1" applyBorder="1" applyAlignment="1">
      <alignment horizontal="center"/>
    </xf>
    <xf numFmtId="0" fontId="2" fillId="0" borderId="27" xfId="19" applyBorder="1"/>
    <xf numFmtId="0" fontId="2" fillId="0" borderId="35" xfId="19" applyBorder="1"/>
    <xf numFmtId="0" fontId="2" fillId="7" borderId="27" xfId="19" applyFill="1" applyBorder="1"/>
    <xf numFmtId="0" fontId="2" fillId="10" borderId="27" xfId="19" applyFill="1" applyBorder="1"/>
    <xf numFmtId="0" fontId="2" fillId="11" borderId="27" xfId="19" applyFill="1" applyBorder="1"/>
    <xf numFmtId="0" fontId="2" fillId="12" borderId="27" xfId="19" applyFill="1" applyBorder="1"/>
    <xf numFmtId="0" fontId="2" fillId="13" borderId="27" xfId="19" applyFill="1" applyBorder="1"/>
    <xf numFmtId="0" fontId="2" fillId="0" borderId="36" xfId="19" applyBorder="1"/>
    <xf numFmtId="176" fontId="2" fillId="0" borderId="0" xfId="19" applyNumberFormat="1"/>
    <xf numFmtId="0" fontId="2" fillId="0" borderId="0" xfId="19" applyFill="1" applyBorder="1"/>
    <xf numFmtId="0" fontId="2" fillId="7" borderId="0" xfId="19" applyFill="1"/>
    <xf numFmtId="0" fontId="2" fillId="0" borderId="37" xfId="19" applyBorder="1"/>
    <xf numFmtId="2" fontId="2" fillId="0" borderId="0" xfId="19" applyNumberFormat="1"/>
    <xf numFmtId="2" fontId="2" fillId="0" borderId="27" xfId="19" applyNumberFormat="1" applyBorder="1"/>
    <xf numFmtId="176" fontId="2" fillId="7" borderId="0" xfId="19" applyNumberFormat="1" applyFill="1"/>
    <xf numFmtId="176" fontId="2" fillId="10" borderId="0" xfId="19" applyNumberFormat="1" applyFill="1"/>
    <xf numFmtId="176" fontId="2" fillId="11" borderId="0" xfId="19" applyNumberFormat="1" applyFill="1"/>
    <xf numFmtId="176" fontId="2" fillId="12" borderId="0" xfId="19" applyNumberFormat="1" applyFill="1"/>
    <xf numFmtId="176" fontId="2" fillId="13" borderId="0" xfId="19" applyNumberFormat="1" applyFill="1"/>
    <xf numFmtId="176" fontId="2" fillId="14" borderId="0" xfId="19" applyNumberFormat="1" applyFill="1"/>
    <xf numFmtId="0" fontId="52" fillId="0" borderId="0" xfId="19" applyFont="1"/>
    <xf numFmtId="176" fontId="52" fillId="0" borderId="0" xfId="19" applyNumberFormat="1" applyFont="1"/>
    <xf numFmtId="0" fontId="49" fillId="0" borderId="0" xfId="16" applyFill="1">
      <alignment vertical="top"/>
    </xf>
    <xf numFmtId="0" fontId="2" fillId="9" borderId="19" xfId="13" applyNumberFormat="1" applyBorder="1" applyAlignment="1"/>
    <xf numFmtId="1" fontId="2" fillId="9" borderId="19" xfId="13" applyNumberFormat="1" applyBorder="1" applyAlignment="1"/>
    <xf numFmtId="44" fontId="2" fillId="9" borderId="19" xfId="13" applyNumberFormat="1" applyBorder="1"/>
    <xf numFmtId="10" fontId="2" fillId="9" borderId="19" xfId="13" applyNumberFormat="1" applyBorder="1"/>
    <xf numFmtId="0" fontId="2" fillId="17" borderId="38" xfId="13" applyNumberFormat="1" applyFill="1" applyBorder="1" applyAlignment="1">
      <alignment vertical="top"/>
    </xf>
    <xf numFmtId="0" fontId="2" fillId="17" borderId="19" xfId="13" applyNumberFormat="1" applyFill="1" applyBorder="1" applyAlignment="1">
      <alignment horizontal="center" wrapText="1"/>
    </xf>
    <xf numFmtId="0" fontId="2" fillId="17" borderId="19" xfId="13" applyNumberFormat="1" applyFill="1" applyBorder="1" applyAlignment="1">
      <alignment horizontal="center"/>
    </xf>
    <xf numFmtId="0" fontId="2" fillId="17" borderId="19" xfId="13" applyNumberFormat="1" applyFill="1" applyBorder="1" applyAlignment="1">
      <alignment wrapText="1"/>
    </xf>
    <xf numFmtId="0" fontId="2" fillId="17" borderId="26" xfId="13" applyNumberFormat="1" applyFill="1" applyBorder="1" applyAlignment="1">
      <alignment horizontal="center" wrapText="1"/>
    </xf>
    <xf numFmtId="0" fontId="2" fillId="17" borderId="0" xfId="13" applyNumberFormat="1" applyFill="1" applyBorder="1" applyAlignment="1">
      <alignment vertical="top"/>
    </xf>
    <xf numFmtId="171" fontId="2" fillId="17" borderId="19" xfId="13" applyNumberFormat="1" applyFill="1" applyBorder="1" applyAlignment="1">
      <alignment horizontal="center" wrapText="1"/>
    </xf>
    <xf numFmtId="0" fontId="2" fillId="17" borderId="26" xfId="13" applyNumberFormat="1" applyFill="1" applyBorder="1" applyAlignment="1">
      <alignment horizontal="center"/>
    </xf>
    <xf numFmtId="0" fontId="50" fillId="0" borderId="0" xfId="16" applyFont="1">
      <alignment vertical="top"/>
    </xf>
    <xf numFmtId="0" fontId="2" fillId="16" borderId="19" xfId="13" applyNumberFormat="1" applyFill="1" applyBorder="1" applyAlignment="1"/>
    <xf numFmtId="0" fontId="55" fillId="0" borderId="0" xfId="26" applyFont="1"/>
    <xf numFmtId="0" fontId="56" fillId="0" borderId="20" xfId="26" applyFont="1" applyFill="1" applyBorder="1" applyAlignment="1">
      <alignment horizontal="center"/>
    </xf>
    <xf numFmtId="0" fontId="57" fillId="0" borderId="30" xfId="26" applyFont="1" applyFill="1" applyBorder="1" applyAlignment="1"/>
    <xf numFmtId="0" fontId="58" fillId="0" borderId="6" xfId="26" applyFont="1" applyFill="1" applyBorder="1" applyAlignment="1"/>
    <xf numFmtId="40" fontId="54" fillId="18" borderId="26" xfId="26" applyNumberFormat="1" applyFont="1" applyFill="1" applyBorder="1" applyAlignment="1">
      <alignment horizontal="centerContinuous"/>
    </xf>
    <xf numFmtId="40" fontId="56" fillId="0" borderId="26" xfId="26" applyNumberFormat="1" applyFont="1" applyFill="1" applyBorder="1" applyAlignment="1">
      <alignment horizontal="centerContinuous"/>
    </xf>
    <xf numFmtId="0" fontId="57" fillId="0" borderId="11" xfId="26" applyFont="1" applyFill="1" applyBorder="1" applyAlignment="1" applyProtection="1">
      <protection locked="0" hidden="1"/>
    </xf>
    <xf numFmtId="40" fontId="57" fillId="0" borderId="29" xfId="26" applyNumberFormat="1" applyFont="1" applyFill="1" applyBorder="1" applyAlignment="1" applyProtection="1">
      <protection locked="0" hidden="1"/>
    </xf>
    <xf numFmtId="40" fontId="56" fillId="20" borderId="29" xfId="26" applyNumberFormat="1" applyFont="1" applyFill="1" applyBorder="1" applyAlignment="1" applyProtection="1">
      <protection hidden="1"/>
    </xf>
    <xf numFmtId="0" fontId="57" fillId="0" borderId="0" xfId="26" applyFont="1"/>
    <xf numFmtId="0" fontId="57" fillId="21" borderId="11" xfId="26" applyFont="1" applyFill="1" applyBorder="1" applyAlignment="1" applyProtection="1">
      <protection locked="0" hidden="1"/>
    </xf>
    <xf numFmtId="40" fontId="56" fillId="20" borderId="11" xfId="26" applyNumberFormat="1" applyFont="1" applyFill="1" applyBorder="1" applyAlignment="1" applyProtection="1">
      <protection hidden="1"/>
    </xf>
    <xf numFmtId="40" fontId="56" fillId="20" borderId="29" xfId="26" applyNumberFormat="1" applyFont="1" applyFill="1" applyBorder="1" applyAlignment="1" applyProtection="1">
      <protection locked="0" hidden="1"/>
    </xf>
    <xf numFmtId="0" fontId="60" fillId="0" borderId="11" xfId="26" applyFont="1" applyFill="1" applyBorder="1" applyAlignment="1"/>
    <xf numFmtId="0" fontId="60" fillId="0" borderId="30" xfId="26" applyFont="1" applyFill="1" applyBorder="1" applyAlignment="1"/>
    <xf numFmtId="0" fontId="60" fillId="0" borderId="22" xfId="26" applyFont="1" applyFill="1" applyBorder="1" applyAlignment="1"/>
    <xf numFmtId="40" fontId="57" fillId="21" borderId="29" xfId="26" applyNumberFormat="1" applyFont="1" applyFill="1" applyBorder="1" applyAlignment="1" applyProtection="1">
      <protection locked="0" hidden="1"/>
    </xf>
    <xf numFmtId="0" fontId="57" fillId="0" borderId="29" xfId="26" applyFont="1" applyBorder="1"/>
    <xf numFmtId="0" fontId="57" fillId="21" borderId="29" xfId="26" applyFont="1" applyFill="1" applyBorder="1" applyAlignment="1" applyProtection="1">
      <protection locked="0" hidden="1"/>
    </xf>
    <xf numFmtId="40" fontId="57" fillId="0" borderId="29" xfId="26" applyNumberFormat="1" applyFont="1" applyFill="1" applyBorder="1" applyAlignment="1" applyProtection="1">
      <protection hidden="1"/>
    </xf>
    <xf numFmtId="40" fontId="56" fillId="20" borderId="30" xfId="26" applyNumberFormat="1" applyFont="1" applyFill="1" applyBorder="1" applyAlignment="1" applyProtection="1">
      <protection hidden="1"/>
    </xf>
    <xf numFmtId="40" fontId="56" fillId="20" borderId="22" xfId="26" applyNumberFormat="1" applyFont="1" applyFill="1" applyBorder="1" applyAlignment="1" applyProtection="1">
      <protection hidden="1"/>
    </xf>
    <xf numFmtId="0" fontId="56" fillId="0" borderId="11" xfId="26" applyFont="1" applyFill="1" applyBorder="1" applyAlignment="1" applyProtection="1">
      <protection locked="0" hidden="1"/>
    </xf>
    <xf numFmtId="40" fontId="57" fillId="20" borderId="29" xfId="26" applyNumberFormat="1" applyFont="1" applyFill="1" applyBorder="1" applyAlignment="1" applyProtection="1">
      <protection hidden="1"/>
    </xf>
    <xf numFmtId="0" fontId="56" fillId="0" borderId="19" xfId="26" applyFont="1" applyFill="1" applyBorder="1" applyAlignment="1" applyProtection="1">
      <protection locked="0" hidden="1"/>
    </xf>
    <xf numFmtId="40" fontId="57" fillId="20" borderId="26" xfId="26" applyNumberFormat="1" applyFont="1" applyFill="1" applyBorder="1" applyAlignment="1" applyProtection="1">
      <protection hidden="1"/>
    </xf>
    <xf numFmtId="40" fontId="56" fillId="20" borderId="26" xfId="26" applyNumberFormat="1" applyFont="1" applyFill="1" applyBorder="1" applyAlignment="1" applyProtection="1">
      <protection hidden="1"/>
    </xf>
    <xf numFmtId="0" fontId="61" fillId="0" borderId="35" xfId="26" applyFont="1" applyBorder="1"/>
    <xf numFmtId="10" fontId="57" fillId="20" borderId="35" xfId="26" applyNumberFormat="1" applyFont="1" applyFill="1" applyBorder="1" applyAlignment="1" applyProtection="1">
      <protection hidden="1"/>
    </xf>
    <xf numFmtId="0" fontId="55" fillId="0" borderId="0" xfId="26" applyFont="1" applyBorder="1"/>
    <xf numFmtId="9" fontId="2" fillId="9" borderId="19" xfId="13" applyNumberFormat="1" applyBorder="1" applyAlignment="1">
      <alignment vertical="top"/>
    </xf>
    <xf numFmtId="44" fontId="2" fillId="9" borderId="19" xfId="13" applyNumberFormat="1" applyBorder="1" applyAlignment="1">
      <alignment vertical="top"/>
    </xf>
    <xf numFmtId="44" fontId="2" fillId="16" borderId="19" xfId="13" applyNumberFormat="1" applyFill="1" applyBorder="1" applyAlignment="1">
      <alignment vertical="top"/>
    </xf>
    <xf numFmtId="44" fontId="2" fillId="22" borderId="19" xfId="13" applyNumberFormat="1" applyFill="1" applyBorder="1" applyAlignment="1">
      <alignment vertical="top"/>
    </xf>
    <xf numFmtId="9" fontId="2" fillId="22" borderId="19" xfId="13" applyNumberFormat="1" applyFill="1" applyBorder="1"/>
    <xf numFmtId="44" fontId="2" fillId="9" borderId="26" xfId="13" applyNumberFormat="1" applyBorder="1" applyAlignment="1">
      <alignment vertical="top"/>
    </xf>
    <xf numFmtId="44" fontId="62" fillId="0" borderId="29" xfId="16" applyNumberFormat="1" applyFont="1" applyBorder="1">
      <alignment vertical="top"/>
    </xf>
    <xf numFmtId="1" fontId="2" fillId="16" borderId="19" xfId="13" applyNumberFormat="1" applyFill="1" applyBorder="1" applyAlignment="1"/>
    <xf numFmtId="44" fontId="2" fillId="16" borderId="19" xfId="13" applyNumberFormat="1" applyFill="1" applyBorder="1"/>
    <xf numFmtId="10" fontId="2" fillId="16" borderId="19" xfId="13" applyNumberFormat="1" applyFill="1" applyBorder="1"/>
    <xf numFmtId="9" fontId="2" fillId="16" borderId="19" xfId="13" applyNumberFormat="1" applyFill="1" applyBorder="1"/>
    <xf numFmtId="9" fontId="2" fillId="16" borderId="19" xfId="13" applyNumberFormat="1" applyFill="1" applyBorder="1" applyAlignment="1">
      <alignment vertical="top"/>
    </xf>
    <xf numFmtId="44" fontId="2" fillId="16" borderId="26" xfId="13" applyNumberFormat="1" applyFill="1" applyBorder="1" applyAlignment="1">
      <alignment vertical="top"/>
    </xf>
    <xf numFmtId="0" fontId="2" fillId="17" borderId="29" xfId="13" applyNumberFormat="1" applyFill="1" applyBorder="1" applyAlignment="1">
      <alignment horizontal="center" wrapText="1"/>
    </xf>
    <xf numFmtId="0" fontId="57" fillId="7" borderId="11" xfId="26" applyFont="1" applyFill="1" applyBorder="1" applyAlignment="1" applyProtection="1">
      <protection locked="0" hidden="1"/>
    </xf>
    <xf numFmtId="40" fontId="57" fillId="7" borderId="29" xfId="26" applyNumberFormat="1" applyFont="1" applyFill="1" applyBorder="1" applyAlignment="1" applyProtection="1">
      <protection hidden="1"/>
    </xf>
    <xf numFmtId="40" fontId="57" fillId="7" borderId="29" xfId="26" applyNumberFormat="1" applyFont="1" applyFill="1" applyBorder="1" applyAlignment="1" applyProtection="1">
      <protection locked="0" hidden="1"/>
    </xf>
    <xf numFmtId="40" fontId="56" fillId="7" borderId="29" xfId="26" applyNumberFormat="1" applyFont="1" applyFill="1" applyBorder="1" applyAlignment="1" applyProtection="1">
      <protection hidden="1"/>
    </xf>
    <xf numFmtId="40" fontId="57" fillId="0" borderId="0" xfId="26" applyNumberFormat="1" applyFont="1"/>
    <xf numFmtId="44" fontId="62" fillId="0" borderId="11" xfId="16" applyNumberFormat="1" applyFont="1" applyBorder="1">
      <alignment vertical="top"/>
    </xf>
    <xf numFmtId="44" fontId="62" fillId="0" borderId="22" xfId="16" applyNumberFormat="1" applyFont="1" applyBorder="1">
      <alignment vertical="top"/>
    </xf>
    <xf numFmtId="40" fontId="55" fillId="0" borderId="0" xfId="26" applyNumberFormat="1" applyFont="1"/>
    <xf numFmtId="171" fontId="63" fillId="0" borderId="0" xfId="8" applyNumberFormat="1" applyFont="1" applyFill="1"/>
    <xf numFmtId="0" fontId="66" fillId="0" borderId="0" xfId="19" applyFont="1"/>
    <xf numFmtId="10" fontId="67" fillId="3" borderId="0" xfId="3" applyFont="1"/>
    <xf numFmtId="10" fontId="66" fillId="0" borderId="0" xfId="19" applyNumberFormat="1" applyFont="1"/>
    <xf numFmtId="0" fontId="66" fillId="0" borderId="19" xfId="19" applyFont="1" applyBorder="1"/>
    <xf numFmtId="176" fontId="66" fillId="0" borderId="21" xfId="19" applyNumberFormat="1" applyFont="1" applyBorder="1"/>
    <xf numFmtId="0" fontId="66" fillId="0" borderId="8" xfId="19" applyFont="1" applyBorder="1"/>
    <xf numFmtId="176" fontId="66" fillId="0" borderId="10" xfId="19" applyNumberFormat="1" applyFont="1" applyBorder="1"/>
    <xf numFmtId="9" fontId="2" fillId="0" borderId="0" xfId="19" applyNumberFormat="1"/>
    <xf numFmtId="0" fontId="44" fillId="0" borderId="0" xfId="8" applyFont="1" applyFill="1" applyBorder="1" applyAlignment="1">
      <alignment horizontal="center" vertical="center" textRotation="90"/>
    </xf>
    <xf numFmtId="0" fontId="44" fillId="0" borderId="9" xfId="8" applyFont="1" applyFill="1" applyBorder="1" applyAlignment="1">
      <alignment horizontal="center" vertical="center" textRotation="90"/>
    </xf>
    <xf numFmtId="0" fontId="68" fillId="23" borderId="19" xfId="13" applyNumberFormat="1" applyFont="1" applyFill="1" applyBorder="1" applyAlignment="1"/>
    <xf numFmtId="1" fontId="68" fillId="23" borderId="19" xfId="13" applyNumberFormat="1" applyFont="1" applyFill="1" applyBorder="1" applyAlignment="1"/>
    <xf numFmtId="44" fontId="68" fillId="23" borderId="19" xfId="13" applyNumberFormat="1" applyFont="1" applyFill="1" applyBorder="1"/>
    <xf numFmtId="10" fontId="68" fillId="23" borderId="19" xfId="13" applyNumberFormat="1" applyFont="1" applyFill="1" applyBorder="1"/>
    <xf numFmtId="9" fontId="68" fillId="23" borderId="19" xfId="13" applyNumberFormat="1" applyFont="1" applyFill="1" applyBorder="1"/>
    <xf numFmtId="9" fontId="68" fillId="23" borderId="19" xfId="13" applyNumberFormat="1" applyFont="1" applyFill="1" applyBorder="1" applyAlignment="1">
      <alignment vertical="top"/>
    </xf>
    <xf numFmtId="44" fontId="68" fillId="23" borderId="19" xfId="13" applyNumberFormat="1" applyFont="1" applyFill="1" applyBorder="1" applyAlignment="1">
      <alignment vertical="top"/>
    </xf>
    <xf numFmtId="44" fontId="68" fillId="23" borderId="26" xfId="13" applyNumberFormat="1" applyFont="1" applyFill="1" applyBorder="1" applyAlignment="1">
      <alignment vertical="top"/>
    </xf>
    <xf numFmtId="0" fontId="2" fillId="24" borderId="11" xfId="13" applyNumberFormat="1" applyFill="1" applyBorder="1" applyAlignment="1"/>
    <xf numFmtId="1" fontId="2" fillId="24" borderId="11" xfId="13" applyNumberFormat="1" applyFill="1" applyBorder="1" applyAlignment="1"/>
    <xf numFmtId="44" fontId="2" fillId="24" borderId="11" xfId="13" applyNumberFormat="1" applyFill="1" applyBorder="1"/>
    <xf numFmtId="10" fontId="2" fillId="24" borderId="11" xfId="13" applyNumberFormat="1" applyFill="1" applyBorder="1"/>
    <xf numFmtId="9" fontId="2" fillId="24" borderId="29" xfId="13" applyNumberFormat="1" applyFill="1" applyBorder="1"/>
    <xf numFmtId="9" fontId="2" fillId="24" borderId="29" xfId="13" applyNumberFormat="1" applyFill="1" applyBorder="1" applyAlignment="1">
      <alignment vertical="top"/>
    </xf>
    <xf numFmtId="44" fontId="2" fillId="24" borderId="29" xfId="13" applyNumberFormat="1" applyFill="1" applyBorder="1" applyAlignment="1">
      <alignment vertical="top"/>
    </xf>
    <xf numFmtId="0" fontId="2" fillId="24" borderId="19" xfId="13" applyNumberFormat="1" applyFill="1" applyBorder="1" applyAlignment="1"/>
    <xf numFmtId="1" fontId="2" fillId="24" borderId="19" xfId="13" applyNumberFormat="1" applyFill="1" applyBorder="1" applyAlignment="1"/>
    <xf numFmtId="44" fontId="2" fillId="24" borderId="19" xfId="13" applyNumberFormat="1" applyFill="1" applyBorder="1"/>
    <xf numFmtId="10" fontId="2" fillId="24" borderId="19" xfId="13" applyNumberFormat="1" applyFill="1" applyBorder="1"/>
    <xf numFmtId="9" fontId="2" fillId="24" borderId="19" xfId="13" applyNumberFormat="1" applyFill="1" applyBorder="1"/>
    <xf numFmtId="9" fontId="2" fillId="24" borderId="19" xfId="13" applyNumberFormat="1" applyFill="1" applyBorder="1" applyAlignment="1">
      <alignment vertical="top"/>
    </xf>
    <xf numFmtId="44" fontId="2" fillId="24" borderId="19" xfId="13" applyNumberFormat="1" applyFill="1" applyBorder="1" applyAlignment="1">
      <alignment vertical="top"/>
    </xf>
    <xf numFmtId="44" fontId="2" fillId="24" borderId="26" xfId="13" applyNumberFormat="1" applyFill="1" applyBorder="1" applyAlignment="1">
      <alignment vertical="top"/>
    </xf>
    <xf numFmtId="0" fontId="50" fillId="24" borderId="0" xfId="16" applyFont="1" applyFill="1">
      <alignment vertical="top"/>
    </xf>
    <xf numFmtId="0" fontId="49" fillId="0" borderId="19" xfId="16" applyBorder="1">
      <alignment vertical="top"/>
    </xf>
    <xf numFmtId="0" fontId="49" fillId="0" borderId="20" xfId="16" applyBorder="1">
      <alignment vertical="top"/>
    </xf>
    <xf numFmtId="0" fontId="49" fillId="0" borderId="21" xfId="16" applyBorder="1">
      <alignment vertical="top"/>
    </xf>
    <xf numFmtId="0" fontId="49" fillId="16" borderId="8" xfId="16" applyFill="1" applyBorder="1">
      <alignment vertical="top"/>
    </xf>
    <xf numFmtId="44" fontId="49" fillId="16" borderId="9" xfId="16" applyNumberFormat="1" applyFill="1" applyBorder="1">
      <alignment vertical="top"/>
    </xf>
    <xf numFmtId="44" fontId="49" fillId="16" borderId="10" xfId="16" applyNumberFormat="1" applyFill="1" applyBorder="1">
      <alignment vertical="top"/>
    </xf>
    <xf numFmtId="0" fontId="44" fillId="22" borderId="0" xfId="8" applyFont="1" applyFill="1" applyBorder="1" applyAlignment="1">
      <alignment horizontal="center" vertical="center"/>
    </xf>
    <xf numFmtId="0" fontId="44" fillId="22" borderId="0" xfId="8" applyFont="1" applyFill="1" applyBorder="1" applyAlignment="1">
      <alignment vertical="center"/>
    </xf>
    <xf numFmtId="0" fontId="46" fillId="22" borderId="0" xfId="9" applyFont="1" applyFill="1" applyBorder="1" applyAlignment="1">
      <alignment horizontal="left"/>
    </xf>
    <xf numFmtId="3" fontId="44" fillId="22" borderId="0" xfId="8" applyNumberFormat="1" applyFont="1" applyFill="1" applyBorder="1"/>
    <xf numFmtId="43" fontId="46" fillId="22" borderId="0" xfId="10" applyFont="1" applyFill="1" applyBorder="1"/>
    <xf numFmtId="169" fontId="44" fillId="22" borderId="0" xfId="8" applyNumberFormat="1" applyFont="1" applyFill="1" applyBorder="1"/>
    <xf numFmtId="44" fontId="46" fillId="22" borderId="0" xfId="10" applyNumberFormat="1" applyFont="1" applyFill="1" applyBorder="1"/>
    <xf numFmtId="171" fontId="46" fillId="22" borderId="0" xfId="10" applyNumberFormat="1" applyFont="1" applyFill="1" applyBorder="1"/>
    <xf numFmtId="44" fontId="46" fillId="0" borderId="9" xfId="11" applyNumberFormat="1" applyFont="1" applyFill="1" applyBorder="1"/>
    <xf numFmtId="0" fontId="44" fillId="22" borderId="0" xfId="8" applyFont="1" applyFill="1"/>
    <xf numFmtId="0" fontId="44" fillId="22" borderId="0" xfId="8" applyFont="1" applyFill="1" applyBorder="1"/>
    <xf numFmtId="44" fontId="44" fillId="22" borderId="0" xfId="27" applyFont="1" applyFill="1" applyBorder="1"/>
    <xf numFmtId="0" fontId="69" fillId="0" borderId="0" xfId="19" applyFont="1" applyFill="1" applyBorder="1"/>
    <xf numFmtId="0" fontId="69" fillId="0" borderId="0" xfId="19" applyFont="1" applyFill="1" applyBorder="1" applyAlignment="1">
      <alignment horizontal="center"/>
    </xf>
    <xf numFmtId="0" fontId="69" fillId="0" borderId="9" xfId="19" applyFont="1" applyFill="1" applyBorder="1"/>
    <xf numFmtId="0" fontId="69" fillId="0" borderId="29" xfId="19" applyFont="1" applyFill="1" applyBorder="1"/>
    <xf numFmtId="44" fontId="70" fillId="3" borderId="29" xfId="27" applyFont="1" applyFill="1" applyBorder="1" applyAlignment="1">
      <alignment horizontal="left"/>
    </xf>
    <xf numFmtId="44" fontId="69" fillId="0" borderId="0" xfId="19" applyNumberFormat="1" applyFont="1" applyFill="1" applyBorder="1"/>
    <xf numFmtId="9" fontId="70" fillId="3" borderId="0" xfId="12" applyFont="1" applyFill="1" applyAlignment="1">
      <alignment horizontal="left"/>
    </xf>
    <xf numFmtId="3" fontId="44" fillId="0" borderId="0" xfId="8" applyNumberFormat="1" applyFont="1" applyFill="1"/>
    <xf numFmtId="169" fontId="31" fillId="25" borderId="0" xfId="18" applyNumberFormat="1" applyFont="1" applyFill="1" applyAlignment="1">
      <alignment vertical="top"/>
    </xf>
    <xf numFmtId="169" fontId="0" fillId="25" borderId="0" xfId="18" applyNumberFormat="1" applyFont="1" applyFill="1" applyAlignment="1">
      <alignment vertical="top"/>
    </xf>
    <xf numFmtId="44" fontId="49" fillId="0" borderId="0" xfId="16" applyNumberFormat="1">
      <alignment vertical="top"/>
    </xf>
    <xf numFmtId="44" fontId="49" fillId="0" borderId="9" xfId="16" applyNumberFormat="1" applyBorder="1">
      <alignment vertical="top"/>
    </xf>
    <xf numFmtId="44" fontId="46" fillId="7" borderId="0" xfId="11" applyNumberFormat="1" applyFont="1" applyFill="1" applyBorder="1"/>
    <xf numFmtId="171" fontId="44" fillId="0" borderId="9" xfId="8" applyNumberFormat="1" applyFont="1" applyFill="1" applyBorder="1"/>
    <xf numFmtId="0" fontId="45" fillId="0" borderId="0" xfId="8" applyFont="1" applyFill="1" applyBorder="1" applyAlignment="1">
      <alignment horizontal="left"/>
    </xf>
    <xf numFmtId="177" fontId="52" fillId="0" borderId="0" xfId="19" applyNumberFormat="1" applyFont="1"/>
    <xf numFmtId="178" fontId="44" fillId="0" borderId="0" xfId="8" applyNumberFormat="1" applyFont="1" applyFill="1"/>
    <xf numFmtId="0" fontId="71" fillId="0" borderId="0" xfId="19" applyFont="1" applyFill="1" applyBorder="1"/>
    <xf numFmtId="171" fontId="71" fillId="0" borderId="0" xfId="27" applyNumberFormat="1" applyFont="1" applyFill="1" applyBorder="1"/>
    <xf numFmtId="171" fontId="71" fillId="0" borderId="9" xfId="27" applyNumberFormat="1" applyFont="1" applyFill="1" applyBorder="1"/>
    <xf numFmtId="0" fontId="69" fillId="0" borderId="9" xfId="19" applyFont="1" applyFill="1" applyBorder="1" applyAlignment="1">
      <alignment horizontal="center"/>
    </xf>
    <xf numFmtId="0" fontId="71" fillId="0" borderId="0" xfId="19" applyFont="1" applyFill="1" applyBorder="1" applyAlignment="1">
      <alignment horizontal="center"/>
    </xf>
    <xf numFmtId="171" fontId="71" fillId="0" borderId="0" xfId="19" applyNumberFormat="1" applyFont="1" applyFill="1" applyBorder="1"/>
    <xf numFmtId="171" fontId="71" fillId="0" borderId="9" xfId="19" applyNumberFormat="1" applyFont="1" applyFill="1" applyBorder="1"/>
    <xf numFmtId="0" fontId="20" fillId="0" borderId="0" xfId="16" applyFont="1">
      <alignment vertical="top"/>
    </xf>
    <xf numFmtId="169" fontId="18" fillId="0" borderId="0" xfId="18" applyNumberFormat="1" applyFont="1" applyBorder="1" applyAlignment="1">
      <alignment vertical="top"/>
    </xf>
    <xf numFmtId="169" fontId="18" fillId="0" borderId="14" xfId="18" applyNumberFormat="1" applyFont="1" applyBorder="1" applyAlignment="1">
      <alignment vertical="top"/>
    </xf>
    <xf numFmtId="169" fontId="18" fillId="25" borderId="0" xfId="18" applyNumberFormat="1" applyFont="1" applyFill="1" applyBorder="1" applyAlignment="1">
      <alignment vertical="top"/>
    </xf>
    <xf numFmtId="169" fontId="18" fillId="25" borderId="14" xfId="18" applyNumberFormat="1" applyFont="1" applyFill="1" applyBorder="1" applyAlignment="1">
      <alignment vertical="top"/>
    </xf>
    <xf numFmtId="169" fontId="18" fillId="0" borderId="0" xfId="18" applyNumberFormat="1" applyFont="1" applyAlignment="1">
      <alignment vertical="top"/>
    </xf>
    <xf numFmtId="0" fontId="20" fillId="0" borderId="0" xfId="16" applyFont="1" applyBorder="1">
      <alignment vertical="top"/>
    </xf>
    <xf numFmtId="169" fontId="18" fillId="15" borderId="0" xfId="18" applyNumberFormat="1" applyFont="1" applyFill="1" applyBorder="1" applyAlignment="1">
      <alignment vertical="top"/>
    </xf>
    <xf numFmtId="43" fontId="18" fillId="25" borderId="0" xfId="18" applyNumberFormat="1" applyFont="1" applyFill="1" applyBorder="1" applyAlignment="1">
      <alignment vertical="top"/>
    </xf>
    <xf numFmtId="0" fontId="20" fillId="0" borderId="0" xfId="16" applyFont="1" applyBorder="1" applyAlignment="1">
      <alignment horizontal="left" vertical="top"/>
    </xf>
    <xf numFmtId="0" fontId="20" fillId="0" borderId="9" xfId="16" applyFont="1" applyBorder="1">
      <alignment vertical="top"/>
    </xf>
    <xf numFmtId="169" fontId="18" fillId="0" borderId="9" xfId="18" applyNumberFormat="1" applyFont="1" applyBorder="1" applyAlignment="1">
      <alignment vertical="top"/>
    </xf>
    <xf numFmtId="0" fontId="20" fillId="0" borderId="0" xfId="16" applyFont="1" applyAlignment="1"/>
    <xf numFmtId="0" fontId="20" fillId="0" borderId="0" xfId="16" applyFont="1" applyAlignment="1">
      <alignment horizontal="center"/>
    </xf>
    <xf numFmtId="0" fontId="20" fillId="15" borderId="0" xfId="16" applyFont="1" applyFill="1" applyAlignment="1">
      <alignment horizontal="center"/>
    </xf>
    <xf numFmtId="0" fontId="20" fillId="0" borderId="14" xfId="16" applyFont="1" applyBorder="1" applyAlignment="1">
      <alignment horizontal="center"/>
    </xf>
    <xf numFmtId="49" fontId="73" fillId="0" borderId="13" xfId="15" applyNumberFormat="1" applyFont="1" applyFill="1" applyBorder="1" applyAlignment="1">
      <alignment horizontal="center"/>
    </xf>
    <xf numFmtId="49" fontId="73" fillId="0" borderId="39" xfId="15" applyNumberFormat="1" applyFont="1" applyFill="1" applyBorder="1" applyAlignment="1">
      <alignment horizontal="center"/>
    </xf>
    <xf numFmtId="49" fontId="73" fillId="15" borderId="13" xfId="15" applyNumberFormat="1" applyFont="1" applyFill="1" applyBorder="1" applyAlignment="1">
      <alignment horizontal="center"/>
    </xf>
    <xf numFmtId="0" fontId="20" fillId="0" borderId="39" xfId="16" applyFont="1" applyBorder="1" applyAlignment="1">
      <alignment horizontal="center"/>
    </xf>
    <xf numFmtId="0" fontId="20" fillId="15" borderId="0" xfId="16" applyFont="1" applyFill="1">
      <alignment vertical="top"/>
    </xf>
    <xf numFmtId="49" fontId="73" fillId="0" borderId="0" xfId="15" applyNumberFormat="1" applyFont="1" applyAlignment="1">
      <alignment horizontal="fill"/>
    </xf>
    <xf numFmtId="49" fontId="73" fillId="0" borderId="14" xfId="15" applyNumberFormat="1" applyFont="1" applyBorder="1" applyAlignment="1">
      <alignment horizontal="fill"/>
    </xf>
    <xf numFmtId="49" fontId="73" fillId="15" borderId="0" xfId="15" applyNumberFormat="1" applyFont="1" applyFill="1" applyAlignment="1">
      <alignment horizontal="fill"/>
    </xf>
    <xf numFmtId="0" fontId="20" fillId="0" borderId="14" xfId="16" applyFont="1" applyBorder="1">
      <alignment vertical="top"/>
    </xf>
    <xf numFmtId="169" fontId="73" fillId="0" borderId="0" xfId="18" applyNumberFormat="1" applyFont="1" applyBorder="1"/>
    <xf numFmtId="169" fontId="75" fillId="0" borderId="9" xfId="18" applyNumberFormat="1" applyFont="1" applyBorder="1"/>
    <xf numFmtId="41" fontId="0" fillId="0" borderId="0" xfId="17" applyNumberFormat="1" applyFont="1" applyAlignment="1"/>
    <xf numFmtId="171" fontId="47" fillId="0" borderId="30" xfId="10" applyNumberFormat="1" applyFont="1" applyFill="1" applyBorder="1"/>
    <xf numFmtId="171" fontId="76" fillId="26" borderId="0" xfId="8" applyNumberFormat="1" applyFont="1" applyFill="1" applyBorder="1"/>
    <xf numFmtId="171" fontId="46" fillId="0" borderId="0" xfId="27" applyNumberFormat="1" applyFont="1" applyFill="1" applyBorder="1"/>
    <xf numFmtId="41" fontId="76" fillId="26" borderId="0" xfId="12" applyNumberFormat="1" applyFont="1" applyFill="1" applyBorder="1"/>
    <xf numFmtId="171" fontId="45" fillId="27" borderId="9" xfId="8" applyNumberFormat="1" applyFont="1" applyFill="1" applyBorder="1"/>
    <xf numFmtId="171" fontId="47" fillId="0" borderId="0" xfId="10" applyNumberFormat="1" applyFont="1" applyFill="1" applyBorder="1"/>
    <xf numFmtId="169" fontId="41" fillId="0" borderId="11" xfId="18" applyNumberFormat="1" applyFont="1" applyBorder="1"/>
    <xf numFmtId="169" fontId="41" fillId="0" borderId="30" xfId="18" applyNumberFormat="1" applyFont="1" applyBorder="1"/>
    <xf numFmtId="169" fontId="41" fillId="0" borderId="22" xfId="18" applyNumberFormat="1" applyFont="1" applyBorder="1"/>
    <xf numFmtId="169" fontId="77" fillId="0" borderId="11" xfId="18" applyNumberFormat="1" applyFont="1" applyBorder="1"/>
    <xf numFmtId="169" fontId="77" fillId="0" borderId="30" xfId="18" applyNumberFormat="1" applyFont="1" applyBorder="1"/>
    <xf numFmtId="169" fontId="77" fillId="0" borderId="22" xfId="18" applyNumberFormat="1" applyFont="1" applyBorder="1"/>
    <xf numFmtId="0" fontId="77" fillId="0" borderId="0" xfId="14" applyFont="1" applyAlignment="1">
      <alignment horizontal="left"/>
    </xf>
    <xf numFmtId="0" fontId="41" fillId="0" borderId="0" xfId="14" applyFont="1" applyAlignment="1">
      <alignment horizontal="left"/>
    </xf>
    <xf numFmtId="171" fontId="69" fillId="0" borderId="0" xfId="19" applyNumberFormat="1" applyFont="1" applyFill="1" applyBorder="1"/>
    <xf numFmtId="3" fontId="44" fillId="25" borderId="9" xfId="8" applyNumberFormat="1" applyFont="1" applyFill="1" applyBorder="1"/>
    <xf numFmtId="43" fontId="46" fillId="25" borderId="9" xfId="10" applyFont="1" applyFill="1" applyBorder="1"/>
    <xf numFmtId="169" fontId="44" fillId="25" borderId="9" xfId="8" applyNumberFormat="1" applyFont="1" applyFill="1" applyBorder="1"/>
    <xf numFmtId="44" fontId="46" fillId="25" borderId="9" xfId="10" applyNumberFormat="1" applyFont="1" applyFill="1" applyBorder="1"/>
    <xf numFmtId="171" fontId="46" fillId="25" borderId="9" xfId="10" applyNumberFormat="1" applyFont="1" applyFill="1" applyBorder="1"/>
    <xf numFmtId="44" fontId="46" fillId="25" borderId="9" xfId="11" applyNumberFormat="1" applyFont="1" applyFill="1" applyBorder="1"/>
    <xf numFmtId="171" fontId="46" fillId="25" borderId="0" xfId="10" applyNumberFormat="1" applyFont="1" applyFill="1" applyBorder="1"/>
    <xf numFmtId="169" fontId="76" fillId="26" borderId="0" xfId="8" applyNumberFormat="1" applyFont="1" applyFill="1" applyBorder="1"/>
    <xf numFmtId="0" fontId="50" fillId="0" borderId="0" xfId="16" applyFont="1" applyAlignment="1"/>
    <xf numFmtId="0" fontId="77" fillId="0" borderId="0" xfId="14" applyFont="1" applyAlignment="1">
      <alignment horizontal="centerContinuous"/>
    </xf>
    <xf numFmtId="0" fontId="79" fillId="2" borderId="0" xfId="0" applyNumberFormat="1" applyFont="1"/>
    <xf numFmtId="169" fontId="77" fillId="0" borderId="0" xfId="18" applyNumberFormat="1" applyFont="1" applyBorder="1"/>
    <xf numFmtId="169" fontId="41" fillId="0" borderId="0" xfId="18" applyNumberFormat="1" applyFont="1" applyBorder="1"/>
    <xf numFmtId="3" fontId="44" fillId="25" borderId="0" xfId="8" applyNumberFormat="1" applyFont="1" applyFill="1" applyBorder="1"/>
    <xf numFmtId="171" fontId="44" fillId="22" borderId="0" xfId="27" applyNumberFormat="1" applyFont="1" applyFill="1" applyBorder="1"/>
    <xf numFmtId="41" fontId="4" fillId="3" borderId="0" xfId="2">
      <alignment horizontal="left"/>
    </xf>
    <xf numFmtId="169" fontId="18" fillId="0" borderId="18" xfId="18" applyNumberFormat="1" applyFont="1" applyBorder="1" applyAlignment="1">
      <alignment vertical="top"/>
    </xf>
    <xf numFmtId="169" fontId="18" fillId="15" borderId="9" xfId="18" applyNumberFormat="1" applyFont="1" applyFill="1" applyBorder="1" applyAlignment="1">
      <alignment vertical="top"/>
    </xf>
    <xf numFmtId="41" fontId="18" fillId="3" borderId="0" xfId="2" applyNumberFormat="1" applyFont="1">
      <alignment horizontal="left"/>
    </xf>
    <xf numFmtId="0" fontId="80" fillId="0" borderId="0" xfId="14" applyFont="1" applyAlignment="1">
      <alignment horizontal="left"/>
    </xf>
    <xf numFmtId="41" fontId="18" fillId="3" borderId="9" xfId="2" applyNumberFormat="1" applyFont="1" applyBorder="1">
      <alignment horizontal="left"/>
    </xf>
    <xf numFmtId="49" fontId="73" fillId="0" borderId="6" xfId="15" applyNumberFormat="1" applyFont="1" applyBorder="1" applyAlignment="1">
      <alignment horizontal="fill"/>
    </xf>
    <xf numFmtId="41" fontId="18" fillId="3" borderId="6" xfId="2" applyNumberFormat="1" applyFont="1" applyBorder="1">
      <alignment horizontal="left"/>
    </xf>
    <xf numFmtId="41" fontId="18" fillId="3" borderId="10" xfId="2" applyNumberFormat="1" applyFont="1" applyBorder="1">
      <alignment horizontal="left"/>
    </xf>
    <xf numFmtId="0" fontId="20" fillId="0" borderId="6" xfId="16" applyFont="1" applyBorder="1">
      <alignment vertical="top"/>
    </xf>
    <xf numFmtId="169" fontId="75" fillId="0" borderId="6" xfId="18" applyNumberFormat="1" applyFont="1" applyBorder="1"/>
    <xf numFmtId="49" fontId="73" fillId="0" borderId="0" xfId="15" applyNumberFormat="1" applyFont="1" applyBorder="1" applyAlignment="1">
      <alignment horizontal="fill"/>
    </xf>
    <xf numFmtId="41" fontId="18" fillId="3" borderId="0" xfId="2" applyNumberFormat="1" applyFont="1" applyBorder="1">
      <alignment horizontal="left"/>
    </xf>
    <xf numFmtId="169" fontId="72" fillId="0" borderId="30" xfId="18" applyNumberFormat="1" applyFont="1" applyBorder="1" applyAlignment="1">
      <alignment vertical="top"/>
    </xf>
    <xf numFmtId="41" fontId="18" fillId="3" borderId="22" xfId="2" applyNumberFormat="1" applyFont="1" applyBorder="1">
      <alignment horizontal="left"/>
    </xf>
    <xf numFmtId="169" fontId="18" fillId="0" borderId="29" xfId="18" applyNumberFormat="1" applyFont="1" applyBorder="1" applyAlignment="1">
      <alignment vertical="top"/>
    </xf>
    <xf numFmtId="169" fontId="18" fillId="0" borderId="30" xfId="18" applyNumberFormat="1" applyFont="1" applyBorder="1" applyAlignment="1">
      <alignment vertical="top"/>
    </xf>
    <xf numFmtId="169" fontId="75" fillId="0" borderId="18" xfId="18" applyNumberFormat="1" applyFont="1" applyBorder="1"/>
    <xf numFmtId="169" fontId="72" fillId="0" borderId="29" xfId="18" applyNumberFormat="1" applyFont="1" applyBorder="1" applyAlignment="1">
      <alignment vertical="top"/>
    </xf>
    <xf numFmtId="41" fontId="18" fillId="30" borderId="6" xfId="2" applyNumberFormat="1" applyFont="1" applyFill="1" applyBorder="1">
      <alignment horizontal="left"/>
    </xf>
    <xf numFmtId="0" fontId="20" fillId="7" borderId="0" xfId="16" applyFont="1" applyFill="1" applyBorder="1">
      <alignment vertical="top"/>
    </xf>
    <xf numFmtId="0" fontId="20" fillId="0" borderId="0" xfId="16" applyFont="1" applyBorder="1" applyAlignment="1">
      <alignment horizontal="center"/>
    </xf>
    <xf numFmtId="169" fontId="18" fillId="0" borderId="6" xfId="18" applyNumberFormat="1" applyFont="1" applyBorder="1" applyAlignment="1">
      <alignment vertical="top"/>
    </xf>
    <xf numFmtId="169" fontId="18" fillId="0" borderId="22" xfId="18" applyNumberFormat="1" applyFont="1" applyBorder="1" applyAlignment="1">
      <alignment vertical="top"/>
    </xf>
    <xf numFmtId="169" fontId="75" fillId="0" borderId="0" xfId="18" applyNumberFormat="1" applyFont="1" applyBorder="1"/>
    <xf numFmtId="41" fontId="18" fillId="0" borderId="6" xfId="2" applyNumberFormat="1" applyFont="1" applyFill="1" applyBorder="1">
      <alignment horizontal="left"/>
    </xf>
    <xf numFmtId="169" fontId="18" fillId="0" borderId="6" xfId="18" applyNumberFormat="1" applyFont="1" applyFill="1" applyBorder="1" applyAlignment="1">
      <alignment vertical="top"/>
    </xf>
    <xf numFmtId="169" fontId="18" fillId="0" borderId="0" xfId="18" applyNumberFormat="1" applyFont="1" applyFill="1" applyBorder="1" applyAlignment="1">
      <alignment vertical="top"/>
    </xf>
    <xf numFmtId="0" fontId="20" fillId="0" borderId="0" xfId="16" applyFont="1" applyAlignment="1">
      <alignment horizontal="right"/>
    </xf>
    <xf numFmtId="169" fontId="18" fillId="0" borderId="0" xfId="18" applyNumberFormat="1" applyFont="1" applyBorder="1" applyAlignment="1">
      <alignment horizontal="right" vertical="top"/>
    </xf>
    <xf numFmtId="169" fontId="18" fillId="0" borderId="9" xfId="18" applyNumberFormat="1" applyFont="1" applyBorder="1" applyAlignment="1">
      <alignment horizontal="right" vertical="top"/>
    </xf>
    <xf numFmtId="49" fontId="73" fillId="0" borderId="0" xfId="15" applyNumberFormat="1" applyFont="1" applyBorder="1" applyAlignment="1">
      <alignment horizontal="right"/>
    </xf>
    <xf numFmtId="0" fontId="20" fillId="0" borderId="6" xfId="16" applyFont="1" applyBorder="1" applyAlignment="1">
      <alignment horizontal="right" vertical="top"/>
    </xf>
    <xf numFmtId="169" fontId="18" fillId="0" borderId="6" xfId="18" applyNumberFormat="1" applyFont="1" applyFill="1" applyBorder="1" applyAlignment="1">
      <alignment horizontal="right" vertical="top"/>
    </xf>
    <xf numFmtId="169" fontId="18" fillId="0" borderId="6" xfId="18" applyNumberFormat="1" applyFont="1" applyBorder="1" applyAlignment="1">
      <alignment horizontal="right" vertical="top"/>
    </xf>
    <xf numFmtId="41" fontId="18" fillId="0" borderId="6" xfId="2" applyNumberFormat="1" applyFont="1" applyFill="1" applyBorder="1" applyAlignment="1">
      <alignment horizontal="right"/>
    </xf>
    <xf numFmtId="41" fontId="18" fillId="3" borderId="18" xfId="2" applyNumberFormat="1" applyFont="1" applyBorder="1" applyAlignment="1">
      <alignment horizontal="right"/>
    </xf>
    <xf numFmtId="41" fontId="18" fillId="3" borderId="22" xfId="2" applyNumberFormat="1" applyFont="1" applyBorder="1" applyAlignment="1">
      <alignment horizontal="right"/>
    </xf>
    <xf numFmtId="169" fontId="18" fillId="0" borderId="14" xfId="18" applyNumberFormat="1" applyFont="1" applyBorder="1" applyAlignment="1">
      <alignment horizontal="right" vertical="top"/>
    </xf>
    <xf numFmtId="169" fontId="75" fillId="0" borderId="18" xfId="18" applyNumberFormat="1" applyFont="1" applyBorder="1" applyAlignment="1">
      <alignment horizontal="right"/>
    </xf>
    <xf numFmtId="0" fontId="20" fillId="0" borderId="0" xfId="16" applyFont="1" applyAlignment="1">
      <alignment horizontal="right" vertical="top"/>
    </xf>
    <xf numFmtId="41" fontId="18" fillId="31" borderId="6" xfId="2" applyNumberFormat="1" applyFont="1" applyFill="1" applyBorder="1" applyAlignment="1">
      <alignment horizontal="right"/>
    </xf>
    <xf numFmtId="169" fontId="18" fillId="31" borderId="6" xfId="18" applyNumberFormat="1" applyFont="1" applyFill="1" applyBorder="1" applyAlignment="1">
      <alignment horizontal="right" vertical="top"/>
    </xf>
    <xf numFmtId="41" fontId="18" fillId="32" borderId="6" xfId="2" applyNumberFormat="1" applyFont="1" applyFill="1" applyBorder="1" applyAlignment="1">
      <alignment horizontal="right"/>
    </xf>
    <xf numFmtId="41" fontId="18" fillId="28" borderId="6" xfId="2" applyNumberFormat="1" applyFont="1" applyFill="1" applyBorder="1" applyAlignment="1">
      <alignment horizontal="right"/>
    </xf>
    <xf numFmtId="169" fontId="18" fillId="28" borderId="6" xfId="18" applyNumberFormat="1" applyFont="1" applyFill="1" applyBorder="1" applyAlignment="1">
      <alignment horizontal="right" vertical="top"/>
    </xf>
    <xf numFmtId="38" fontId="18" fillId="28" borderId="6" xfId="2" applyNumberFormat="1" applyFont="1" applyFill="1" applyBorder="1" applyAlignment="1">
      <alignment horizontal="right"/>
    </xf>
    <xf numFmtId="169" fontId="18" fillId="22" borderId="6" xfId="18" applyNumberFormat="1" applyFont="1" applyFill="1" applyBorder="1" applyAlignment="1">
      <alignment horizontal="right" vertical="top"/>
    </xf>
    <xf numFmtId="41" fontId="18" fillId="22" borderId="6" xfId="2" applyNumberFormat="1" applyFont="1" applyFill="1" applyBorder="1">
      <alignment horizontal="left"/>
    </xf>
    <xf numFmtId="41" fontId="18" fillId="30" borderId="6" xfId="2" applyNumberFormat="1" applyFont="1" applyFill="1" applyBorder="1" applyAlignment="1">
      <alignment horizontal="right"/>
    </xf>
    <xf numFmtId="41" fontId="18" fillId="33" borderId="6" xfId="2" applyNumberFormat="1" applyFont="1" applyFill="1" applyBorder="1" applyAlignment="1">
      <alignment horizontal="right"/>
    </xf>
    <xf numFmtId="41" fontId="18" fillId="34" borderId="6" xfId="2" applyNumberFormat="1" applyFont="1" applyFill="1" applyBorder="1" applyAlignment="1">
      <alignment horizontal="right"/>
    </xf>
    <xf numFmtId="169" fontId="18" fillId="0" borderId="0" xfId="18" applyNumberFormat="1" applyFont="1" applyFill="1" applyBorder="1" applyAlignment="1">
      <alignment horizontal="right" vertical="top"/>
    </xf>
    <xf numFmtId="169" fontId="18" fillId="15" borderId="0" xfId="18" applyNumberFormat="1" applyFont="1" applyFill="1" applyAlignment="1">
      <alignment vertical="top"/>
    </xf>
    <xf numFmtId="169" fontId="20" fillId="0" borderId="0" xfId="16" applyNumberFormat="1" applyFont="1">
      <alignment vertical="top"/>
    </xf>
    <xf numFmtId="0" fontId="18" fillId="0" borderId="0" xfId="14" applyFont="1" applyAlignment="1">
      <alignment horizontal="left"/>
    </xf>
    <xf numFmtId="41" fontId="18" fillId="0" borderId="18" xfId="2" applyNumberFormat="1" applyFont="1" applyFill="1" applyBorder="1" applyAlignment="1">
      <alignment horizontal="right"/>
    </xf>
    <xf numFmtId="169" fontId="18" fillId="0" borderId="10" xfId="18" applyNumberFormat="1" applyFont="1" applyBorder="1" applyAlignment="1">
      <alignment vertical="top"/>
    </xf>
    <xf numFmtId="169" fontId="18" fillId="0" borderId="29" xfId="18" applyNumberFormat="1" applyFont="1" applyBorder="1" applyAlignment="1">
      <alignment horizontal="right" vertical="top"/>
    </xf>
    <xf numFmtId="169" fontId="73" fillId="0" borderId="30" xfId="18" applyNumberFormat="1" applyFont="1" applyBorder="1"/>
    <xf numFmtId="169" fontId="18" fillId="0" borderId="5" xfId="18" applyNumberFormat="1" applyFont="1" applyBorder="1" applyAlignment="1">
      <alignment horizontal="right" vertical="top"/>
    </xf>
    <xf numFmtId="49" fontId="73" fillId="0" borderId="5" xfId="15" applyNumberFormat="1" applyFont="1" applyBorder="1" applyAlignment="1">
      <alignment horizontal="right"/>
    </xf>
    <xf numFmtId="49" fontId="73" fillId="0" borderId="9" xfId="15" applyNumberFormat="1" applyFont="1" applyBorder="1" applyAlignment="1">
      <alignment horizontal="fill"/>
    </xf>
    <xf numFmtId="169" fontId="18" fillId="0" borderId="8" xfId="18" applyNumberFormat="1" applyFont="1" applyBorder="1" applyAlignment="1">
      <alignment horizontal="right" vertical="top"/>
    </xf>
    <xf numFmtId="49" fontId="73" fillId="15" borderId="9" xfId="15" applyNumberFormat="1" applyFont="1" applyFill="1" applyBorder="1" applyAlignment="1">
      <alignment horizontal="fill"/>
    </xf>
    <xf numFmtId="169" fontId="74" fillId="0" borderId="30" xfId="16" applyNumberFormat="1" applyFont="1" applyBorder="1">
      <alignment vertical="top"/>
    </xf>
    <xf numFmtId="169" fontId="75" fillId="0" borderId="30" xfId="18" applyNumberFormat="1" applyFont="1" applyBorder="1"/>
    <xf numFmtId="169" fontId="73" fillId="0" borderId="30" xfId="18" applyNumberFormat="1" applyFont="1" applyFill="1" applyBorder="1"/>
    <xf numFmtId="0" fontId="1" fillId="0" borderId="0" xfId="28"/>
    <xf numFmtId="0" fontId="1" fillId="0" borderId="0" xfId="28" applyAlignment="1">
      <alignment horizontal="center"/>
    </xf>
    <xf numFmtId="14" fontId="1" fillId="0" borderId="0" xfId="28" applyNumberFormat="1"/>
    <xf numFmtId="0" fontId="1" fillId="0" borderId="0" xfId="28" applyAlignment="1">
      <alignment horizontal="right"/>
    </xf>
    <xf numFmtId="177" fontId="1" fillId="0" borderId="0" xfId="28" applyNumberFormat="1"/>
    <xf numFmtId="0" fontId="1" fillId="0" borderId="9" xfId="28" applyBorder="1"/>
    <xf numFmtId="177" fontId="1" fillId="0" borderId="9" xfId="28" applyNumberFormat="1" applyBorder="1"/>
    <xf numFmtId="0" fontId="1" fillId="0" borderId="0" xfId="28" applyNumberFormat="1"/>
    <xf numFmtId="0" fontId="81" fillId="0" borderId="0" xfId="28" applyFont="1"/>
    <xf numFmtId="171" fontId="81" fillId="0" borderId="0" xfId="29" applyNumberFormat="1" applyFont="1"/>
    <xf numFmtId="0" fontId="78" fillId="0" borderId="0" xfId="28" applyFont="1"/>
    <xf numFmtId="9" fontId="78" fillId="0" borderId="0" xfId="30" applyNumberFormat="1" applyFont="1"/>
    <xf numFmtId="9" fontId="4" fillId="3" borderId="6" xfId="3" applyNumberFormat="1" applyBorder="1"/>
    <xf numFmtId="41" fontId="4" fillId="3" borderId="14" xfId="2" applyBorder="1">
      <alignment horizontal="left"/>
    </xf>
    <xf numFmtId="169" fontId="73" fillId="0" borderId="6" xfId="18" applyNumberFormat="1" applyFont="1" applyFill="1" applyBorder="1"/>
    <xf numFmtId="9" fontId="18" fillId="3" borderId="6" xfId="3" applyNumberFormat="1" applyFont="1" applyBorder="1"/>
    <xf numFmtId="43" fontId="69" fillId="0" borderId="0" xfId="19" applyNumberFormat="1" applyFont="1" applyFill="1" applyBorder="1"/>
    <xf numFmtId="43" fontId="69" fillId="0" borderId="9" xfId="19" applyNumberFormat="1" applyFont="1" applyFill="1" applyBorder="1"/>
    <xf numFmtId="44" fontId="44" fillId="22" borderId="0" xfId="8" applyNumberFormat="1" applyFont="1" applyFill="1" applyBorder="1"/>
    <xf numFmtId="178" fontId="52" fillId="0" borderId="0" xfId="20" applyNumberFormat="1" applyFont="1"/>
    <xf numFmtId="169" fontId="18" fillId="0" borderId="14" xfId="18" applyNumberFormat="1" applyFont="1" applyFill="1" applyBorder="1" applyAlignment="1">
      <alignment vertical="top"/>
    </xf>
    <xf numFmtId="169" fontId="0" fillId="29" borderId="0" xfId="18" applyNumberFormat="1" applyFont="1" applyFill="1" applyAlignment="1">
      <alignment vertical="top"/>
    </xf>
    <xf numFmtId="43" fontId="18" fillId="0" borderId="0" xfId="18" applyNumberFormat="1" applyFont="1" applyBorder="1" applyAlignment="1">
      <alignment vertical="top"/>
    </xf>
    <xf numFmtId="41" fontId="18" fillId="3" borderId="0" xfId="2" applyFont="1">
      <alignment horizontal="left"/>
    </xf>
    <xf numFmtId="169" fontId="18" fillId="0" borderId="9" xfId="18" applyNumberFormat="1" applyFont="1" applyFill="1" applyBorder="1" applyAlignment="1">
      <alignment vertical="top"/>
    </xf>
    <xf numFmtId="41" fontId="18" fillId="22" borderId="0" xfId="2" applyFont="1" applyFill="1">
      <alignment horizontal="left"/>
    </xf>
    <xf numFmtId="44" fontId="46" fillId="7" borderId="0" xfId="27" applyFont="1" applyFill="1" applyBorder="1"/>
    <xf numFmtId="169" fontId="72" fillId="15" borderId="9" xfId="18" applyNumberFormat="1" applyFont="1" applyFill="1" applyBorder="1" applyAlignment="1">
      <alignment vertical="top"/>
    </xf>
    <xf numFmtId="41" fontId="82" fillId="3" borderId="0" xfId="2" applyFont="1">
      <alignment horizontal="left"/>
    </xf>
    <xf numFmtId="41" fontId="83" fillId="0" borderId="0" xfId="16" applyNumberFormat="1" applyFont="1">
      <alignment vertical="top"/>
    </xf>
    <xf numFmtId="0" fontId="83" fillId="0" borderId="0" xfId="16" applyFont="1">
      <alignment vertical="top"/>
    </xf>
    <xf numFmtId="41" fontId="84" fillId="0" borderId="0" xfId="16" applyNumberFormat="1" applyFont="1">
      <alignment vertical="top"/>
    </xf>
    <xf numFmtId="169" fontId="72" fillId="0" borderId="22" xfId="18" applyNumberFormat="1" applyFont="1" applyBorder="1" applyAlignment="1">
      <alignment vertical="top"/>
    </xf>
    <xf numFmtId="169" fontId="18" fillId="0" borderId="40" xfId="18" applyNumberFormat="1" applyFont="1" applyBorder="1" applyAlignment="1">
      <alignment vertical="top"/>
    </xf>
    <xf numFmtId="41" fontId="4" fillId="3" borderId="6" xfId="2" applyBorder="1">
      <alignment horizontal="left"/>
    </xf>
    <xf numFmtId="9" fontId="4" fillId="3" borderId="10" xfId="3" applyNumberFormat="1" applyBorder="1"/>
    <xf numFmtId="10" fontId="4" fillId="3" borderId="6" xfId="3" applyBorder="1"/>
    <xf numFmtId="169" fontId="18" fillId="0" borderId="41" xfId="18" applyNumberFormat="1" applyFont="1" applyBorder="1" applyAlignment="1">
      <alignment horizontal="right" vertical="top"/>
    </xf>
    <xf numFmtId="169" fontId="18" fillId="0" borderId="14" xfId="18" applyNumberFormat="1" applyFont="1" applyFill="1" applyBorder="1" applyAlignment="1">
      <alignment horizontal="right" vertical="top"/>
    </xf>
    <xf numFmtId="169" fontId="18" fillId="0" borderId="18" xfId="18" applyNumberFormat="1" applyFont="1" applyBorder="1" applyAlignment="1">
      <alignment horizontal="right" vertical="top"/>
    </xf>
    <xf numFmtId="0" fontId="20" fillId="15" borderId="0" xfId="16" applyFont="1" applyFill="1" applyBorder="1" applyAlignment="1">
      <alignment horizontal="center" vertical="top" wrapText="1"/>
    </xf>
    <xf numFmtId="0" fontId="20" fillId="15" borderId="0" xfId="16" applyFont="1" applyFill="1" applyAlignment="1">
      <alignment horizontal="center" vertical="top" wrapText="1"/>
    </xf>
    <xf numFmtId="0" fontId="18" fillId="4" borderId="30" xfId="0" applyNumberFormat="1" applyFont="1" applyFill="1" applyBorder="1" applyAlignment="1">
      <alignment horizontal="center"/>
    </xf>
    <xf numFmtId="0" fontId="16" fillId="4" borderId="0" xfId="0" applyNumberFormat="1" applyFont="1" applyFill="1" applyAlignment="1">
      <alignment horizont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18" fillId="4" borderId="0" xfId="0" applyNumberFormat="1" applyFont="1" applyFill="1" applyAlignment="1">
      <alignment horizontal="center"/>
    </xf>
    <xf numFmtId="0" fontId="18" fillId="4" borderId="0" xfId="0" applyNumberFormat="1" applyFont="1" applyFill="1" applyBorder="1" applyAlignment="1">
      <alignment horizontal="center"/>
    </xf>
    <xf numFmtId="0" fontId="18" fillId="4" borderId="20" xfId="0" applyNumberFormat="1" applyFont="1" applyFill="1" applyBorder="1" applyAlignment="1">
      <alignment horizontal="center"/>
    </xf>
    <xf numFmtId="0" fontId="44" fillId="0" borderId="0" xfId="8" applyFont="1" applyFill="1" applyBorder="1" applyAlignment="1">
      <alignment horizontal="center" vertical="center" textRotation="90"/>
    </xf>
    <xf numFmtId="0" fontId="44" fillId="0" borderId="9" xfId="8" applyFont="1" applyFill="1" applyBorder="1" applyAlignment="1">
      <alignment horizontal="center" vertical="center" textRotation="90"/>
    </xf>
    <xf numFmtId="0" fontId="44" fillId="0" borderId="20" xfId="8" applyFont="1" applyFill="1" applyBorder="1" applyAlignment="1">
      <alignment horizontal="center" vertical="center" textRotation="90"/>
    </xf>
    <xf numFmtId="0" fontId="49" fillId="0" borderId="9" xfId="16" applyBorder="1" applyAlignment="1">
      <alignment horizontal="center" vertical="top"/>
    </xf>
    <xf numFmtId="0" fontId="53" fillId="17" borderId="11" xfId="22" applyFont="1" applyFill="1" applyBorder="1" applyAlignment="1">
      <alignment horizontal="center"/>
    </xf>
    <xf numFmtId="0" fontId="53" fillId="17" borderId="22" xfId="22" applyFont="1" applyFill="1" applyBorder="1" applyAlignment="1">
      <alignment horizontal="center"/>
    </xf>
    <xf numFmtId="0" fontId="2" fillId="17" borderId="26" xfId="13" applyNumberFormat="1" applyFill="1" applyBorder="1" applyAlignment="1">
      <alignment horizontal="center" wrapText="1"/>
    </xf>
    <xf numFmtId="0" fontId="2" fillId="17" borderId="18" xfId="13" applyNumberFormat="1" applyFill="1" applyBorder="1" applyAlignment="1">
      <alignment horizontal="center" wrapText="1"/>
    </xf>
    <xf numFmtId="0" fontId="54" fillId="18" borderId="11" xfId="26" applyFont="1" applyFill="1" applyBorder="1" applyAlignment="1" applyProtection="1">
      <protection locked="0" hidden="1"/>
    </xf>
    <xf numFmtId="0" fontId="58" fillId="18" borderId="30" xfId="26" applyFont="1" applyFill="1" applyBorder="1" applyAlignment="1"/>
    <xf numFmtId="0" fontId="58" fillId="18" borderId="22" xfId="26" applyFont="1" applyFill="1" applyBorder="1" applyAlignment="1"/>
    <xf numFmtId="0" fontId="54" fillId="18" borderId="11" xfId="26" applyFont="1" applyFill="1" applyBorder="1" applyAlignment="1"/>
    <xf numFmtId="0" fontId="54" fillId="18" borderId="30" xfId="26" applyFont="1" applyFill="1" applyBorder="1" applyAlignment="1"/>
    <xf numFmtId="0" fontId="54" fillId="18" borderId="22" xfId="26" applyFont="1" applyFill="1" applyBorder="1" applyAlignment="1"/>
    <xf numFmtId="0" fontId="56" fillId="19" borderId="11" xfId="26" applyFont="1" applyFill="1" applyBorder="1" applyAlignment="1" applyProtection="1">
      <alignment vertical="center"/>
      <protection locked="0" hidden="1"/>
    </xf>
    <xf numFmtId="0" fontId="56" fillId="19" borderId="30" xfId="26" applyFont="1" applyFill="1" applyBorder="1" applyAlignment="1">
      <alignment vertical="center"/>
    </xf>
    <xf numFmtId="0" fontId="56" fillId="19" borderId="22" xfId="26" applyFont="1" applyFill="1" applyBorder="1" applyAlignment="1">
      <alignment vertical="center"/>
    </xf>
    <xf numFmtId="0" fontId="59" fillId="19" borderId="30" xfId="26" applyFont="1" applyFill="1" applyBorder="1" applyAlignment="1">
      <alignment vertical="center"/>
    </xf>
    <xf numFmtId="0" fontId="59" fillId="19" borderId="22" xfId="26" applyFont="1" applyFill="1" applyBorder="1" applyAlignment="1">
      <alignment vertical="center"/>
    </xf>
  </cellXfs>
  <cellStyles count="31">
    <cellStyle name="20% - Accent6" xfId="13" builtinId="50"/>
    <cellStyle name="Accent5" xfId="1" builtinId="45"/>
    <cellStyle name="Comma" xfId="2" builtinId="3"/>
    <cellStyle name="Comma 2" xfId="7"/>
    <cellStyle name="Comma 3" xfId="10"/>
    <cellStyle name="Comma 4" xfId="18"/>
    <cellStyle name="Currency" xfId="27" builtinId="4"/>
    <cellStyle name="Currency 2" xfId="11"/>
    <cellStyle name="Currency 3" xfId="24"/>
    <cellStyle name="Currency 4" xfId="29"/>
    <cellStyle name="Currency 5" xfId="23"/>
    <cellStyle name="FRxAmtStyle" xfId="15"/>
    <cellStyle name="Normal" xfId="0" builtinId="0"/>
    <cellStyle name="Normal 13" xfId="21"/>
    <cellStyle name="Normal 2" xfId="5"/>
    <cellStyle name="Normal 3" xfId="6"/>
    <cellStyle name="Normal 4" xfId="8"/>
    <cellStyle name="Normal 5" xfId="16"/>
    <cellStyle name="Normal 6" xfId="19"/>
    <cellStyle name="Normal 7" xfId="26"/>
    <cellStyle name="Normal 8" xfId="28"/>
    <cellStyle name="Normal_DEPN2K" xfId="22"/>
    <cellStyle name="Normal_Price out" xfId="9"/>
    <cellStyle name="Normal_Sheet3" xfId="14"/>
    <cellStyle name="Percent" xfId="3" builtinId="5"/>
    <cellStyle name="Percent 2" xfId="4"/>
    <cellStyle name="Percent 3" xfId="12"/>
    <cellStyle name="Percent 4" xfId="17"/>
    <cellStyle name="Percent 5" xfId="20"/>
    <cellStyle name="Percent 6" xfId="30"/>
    <cellStyle name="Percent 8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99"/>
      <color rgb="FFFF7C8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66</xdr:row>
      <xdr:rowOff>30480</xdr:rowOff>
    </xdr:from>
    <xdr:to>
      <xdr:col>16</xdr:col>
      <xdr:colOff>83820</xdr:colOff>
      <xdr:row>72</xdr:row>
      <xdr:rowOff>129540</xdr:rowOff>
    </xdr:to>
    <xdr:sp macro="" textlink="">
      <xdr:nvSpPr>
        <xdr:cNvPr id="2" name="Rounded Rectangular Callout 1"/>
        <xdr:cNvSpPr/>
      </xdr:nvSpPr>
      <xdr:spPr>
        <a:xfrm>
          <a:off x="10447020" y="13906500"/>
          <a:ext cx="1303020" cy="1287780"/>
        </a:xfrm>
        <a:prstGeom prst="wedgeRoundRectCallout">
          <a:avLst>
            <a:gd name="adj1" fmla="val -90909"/>
            <a:gd name="adj2" fmla="val -1210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link to the Revenue Requirement number on the LG</a:t>
          </a:r>
          <a:r>
            <a:rPr lang="en-US" sz="1100" baseline="0"/>
            <a:t> model.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66</xdr:row>
      <xdr:rowOff>30480</xdr:rowOff>
    </xdr:from>
    <xdr:to>
      <xdr:col>16</xdr:col>
      <xdr:colOff>548640</xdr:colOff>
      <xdr:row>71</xdr:row>
      <xdr:rowOff>38100</xdr:rowOff>
    </xdr:to>
    <xdr:sp macro="" textlink="">
      <xdr:nvSpPr>
        <xdr:cNvPr id="2" name="Rounded Rectangular Callout 1"/>
        <xdr:cNvSpPr/>
      </xdr:nvSpPr>
      <xdr:spPr>
        <a:xfrm>
          <a:off x="10170795" y="13622655"/>
          <a:ext cx="1788795" cy="807720"/>
        </a:xfrm>
        <a:prstGeom prst="wedgeRoundRectCallout">
          <a:avLst>
            <a:gd name="adj1" fmla="val -77110"/>
            <a:gd name="adj2" fmla="val 109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link to the Revenue number on the LG</a:t>
          </a:r>
          <a:r>
            <a:rPr lang="en-US" sz="1100" baseline="0"/>
            <a:t> model.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369094</xdr:colOff>
      <xdr:row>11</xdr:row>
      <xdr:rowOff>140493</xdr:rowOff>
    </xdr:from>
    <xdr:to>
      <xdr:col>23</xdr:col>
      <xdr:colOff>463284</xdr:colOff>
      <xdr:row>40</xdr:row>
      <xdr:rowOff>149281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13094" y="2997993"/>
          <a:ext cx="8476190" cy="58857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535780</xdr:colOff>
      <xdr:row>13</xdr:row>
      <xdr:rowOff>164330</xdr:rowOff>
    </xdr:from>
    <xdr:to>
      <xdr:col>9</xdr:col>
      <xdr:colOff>119061</xdr:colOff>
      <xdr:row>40</xdr:row>
      <xdr:rowOff>39918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7780" y="3509986"/>
          <a:ext cx="5679281" cy="5340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IA27QKC6/Company%20Disposal%20Fee%20work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oung215/AppData/Local/Microsoft/Windows/INetCache/Content.Outlook/BZZ6GHZH/Staff%20Gary's%20Garbage%20rate%20case%20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IA27QKC6/Cando%20Curbside%20Labor%202019%20MY%209-10-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reedom%202000%20dba%20Recycling\Payroll%20Analysys%202017%20MY%20not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IA27QKC6/Cando%20DF%20MY%209-7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CNX%20Stuff/Excel/Financials/Excel%20Financials/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ermode/Documents/+2018/LG%20replacement/SolidWaste-NonPublic%20LG%202018%20V5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References"/>
      <sheetName val="Calculations"/>
    </sheetNames>
    <sheetDataSet>
      <sheetData sheetId="0" refreshError="1"/>
      <sheetData sheetId="1" refreshError="1">
        <row r="6">
          <cell r="D6">
            <v>8.6666666666666661</v>
          </cell>
          <cell r="E6">
            <v>17.333333333333332</v>
          </cell>
          <cell r="F6">
            <v>26</v>
          </cell>
        </row>
        <row r="7">
          <cell r="D7">
            <v>4.333333333333333</v>
          </cell>
          <cell r="G7">
            <v>17.333333333333332</v>
          </cell>
        </row>
        <row r="8">
          <cell r="D8">
            <v>2.1666666666666665</v>
          </cell>
        </row>
        <row r="9">
          <cell r="D9">
            <v>1</v>
          </cell>
        </row>
        <row r="28">
          <cell r="E28">
            <v>0.01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ro Forma"/>
      <sheetName val="Staffs Tonnage"/>
      <sheetName val="Balance Sheet"/>
      <sheetName val="Depn  Summary"/>
      <sheetName val="Depn Calculation"/>
      <sheetName val="Staff LG"/>
      <sheetName val="Staff Rate Plan Priceout"/>
      <sheetName val="Staff Priceout"/>
      <sheetName val="Staff old tax LG"/>
      <sheetName val="Lurito Gallagher as filed"/>
      <sheetName val="Fuel Useage Summary"/>
      <sheetName val="Diesel Invoices"/>
      <sheetName val="Fuel Invoices"/>
      <sheetName val="GL priceout revenue reconcile"/>
      <sheetName val="Customer Count (Submit)"/>
      <sheetName val="Reference"/>
      <sheetName val="Revenue Reconcile"/>
      <sheetName val="Staffs 30 Yard Box Tonnage"/>
      <sheetName val="30 Yard Box Tonnage"/>
    </sheetNames>
    <sheetDataSet>
      <sheetData sheetId="0">
        <row r="24">
          <cell r="I24">
            <v>15000</v>
          </cell>
        </row>
      </sheetData>
      <sheetData sheetId="1"/>
      <sheetData sheetId="2"/>
      <sheetData sheetId="3"/>
      <sheetData sheetId="4"/>
      <sheetData sheetId="5">
        <row r="55">
          <cell r="X55">
            <v>5.7225999999999999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tal Hr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</sheetNames>
    <sheetDataSet>
      <sheetData sheetId="0"/>
      <sheetData sheetId="1">
        <row r="4">
          <cell r="C4">
            <v>4</v>
          </cell>
          <cell r="D4">
            <v>4</v>
          </cell>
        </row>
        <row r="6">
          <cell r="C6">
            <v>8</v>
          </cell>
          <cell r="D6">
            <v>8</v>
          </cell>
        </row>
        <row r="8">
          <cell r="C8">
            <v>4</v>
          </cell>
          <cell r="D8">
            <v>4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8</v>
          </cell>
          <cell r="D14">
            <v>8</v>
          </cell>
          <cell r="F14">
            <v>9</v>
          </cell>
          <cell r="G14">
            <v>9</v>
          </cell>
        </row>
        <row r="16">
          <cell r="C16">
            <v>4</v>
          </cell>
          <cell r="D16">
            <v>4</v>
          </cell>
        </row>
        <row r="18">
          <cell r="C18">
            <v>8</v>
          </cell>
          <cell r="D18">
            <v>8</v>
          </cell>
        </row>
        <row r="20">
          <cell r="C20">
            <v>4</v>
          </cell>
          <cell r="D20">
            <v>4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8</v>
          </cell>
          <cell r="D26">
            <v>8</v>
          </cell>
          <cell r="F26">
            <v>9</v>
          </cell>
          <cell r="G26">
            <v>9</v>
          </cell>
        </row>
        <row r="28">
          <cell r="C28">
            <v>4</v>
          </cell>
          <cell r="D28">
            <v>4</v>
          </cell>
        </row>
      </sheetData>
      <sheetData sheetId="2">
        <row r="4">
          <cell r="C4">
            <v>8</v>
          </cell>
          <cell r="D4">
            <v>8</v>
          </cell>
        </row>
        <row r="6">
          <cell r="C6">
            <v>4</v>
          </cell>
          <cell r="D6">
            <v>4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</row>
        <row r="18">
          <cell r="C18">
            <v>4</v>
          </cell>
          <cell r="D18">
            <v>4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8</v>
          </cell>
          <cell r="D26">
            <v>8</v>
          </cell>
        </row>
      </sheetData>
      <sheetData sheetId="3">
        <row r="4">
          <cell r="C4">
            <v>8</v>
          </cell>
          <cell r="D4">
            <v>8</v>
          </cell>
        </row>
        <row r="6">
          <cell r="C6">
            <v>4</v>
          </cell>
          <cell r="D6">
            <v>4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</row>
        <row r="18">
          <cell r="C18">
            <v>4</v>
          </cell>
          <cell r="D18">
            <v>4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4</v>
          </cell>
          <cell r="D26">
            <v>4</v>
          </cell>
        </row>
      </sheetData>
      <sheetData sheetId="4">
        <row r="4">
          <cell r="C4">
            <v>8</v>
          </cell>
          <cell r="D4">
            <v>8</v>
          </cell>
        </row>
        <row r="6">
          <cell r="C6">
            <v>4</v>
          </cell>
          <cell r="D6">
            <v>4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</row>
        <row r="18">
          <cell r="C18">
            <v>4</v>
          </cell>
          <cell r="D18">
            <v>4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4</v>
          </cell>
          <cell r="D26">
            <v>4</v>
          </cell>
        </row>
        <row r="28">
          <cell r="C28">
            <v>8</v>
          </cell>
          <cell r="D28">
            <v>8</v>
          </cell>
        </row>
      </sheetData>
      <sheetData sheetId="5">
        <row r="4">
          <cell r="C4">
            <v>4</v>
          </cell>
          <cell r="D4">
            <v>4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4</v>
          </cell>
          <cell r="D12">
            <v>4</v>
          </cell>
        </row>
        <row r="14">
          <cell r="C14">
            <v>8</v>
          </cell>
          <cell r="D14">
            <v>8</v>
          </cell>
        </row>
        <row r="16">
          <cell r="C16">
            <v>4</v>
          </cell>
          <cell r="D16">
            <v>4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4</v>
          </cell>
          <cell r="D24">
            <v>4</v>
          </cell>
        </row>
        <row r="26">
          <cell r="C26">
            <v>8</v>
          </cell>
          <cell r="D26">
            <v>8</v>
          </cell>
        </row>
        <row r="28">
          <cell r="C28">
            <v>4</v>
          </cell>
          <cell r="D28">
            <v>4</v>
          </cell>
        </row>
      </sheetData>
      <sheetData sheetId="6">
        <row r="4">
          <cell r="C4">
            <v>8</v>
          </cell>
          <cell r="D4">
            <v>8</v>
          </cell>
          <cell r="F4">
            <v>9</v>
          </cell>
          <cell r="G4">
            <v>9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4</v>
          </cell>
          <cell r="D10">
            <v>4</v>
          </cell>
        </row>
        <row r="12">
          <cell r="C12">
            <v>8</v>
          </cell>
          <cell r="D12">
            <v>8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  <cell r="F16">
            <v>9</v>
          </cell>
          <cell r="G16">
            <v>9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4</v>
          </cell>
          <cell r="D22">
            <v>4</v>
          </cell>
        </row>
        <row r="24">
          <cell r="C24">
            <v>8</v>
          </cell>
          <cell r="D24">
            <v>8</v>
          </cell>
        </row>
        <row r="26">
          <cell r="C26">
            <v>4</v>
          </cell>
          <cell r="D26">
            <v>4</v>
          </cell>
        </row>
      </sheetData>
      <sheetData sheetId="7">
        <row r="4">
          <cell r="C4">
            <v>8</v>
          </cell>
          <cell r="D4">
            <v>8</v>
          </cell>
          <cell r="F4">
            <v>9</v>
          </cell>
          <cell r="G4">
            <v>9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4</v>
          </cell>
          <cell r="D10">
            <v>4</v>
          </cell>
        </row>
        <row r="12">
          <cell r="C12">
            <v>8</v>
          </cell>
          <cell r="D12">
            <v>8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  <cell r="F16">
            <v>9</v>
          </cell>
          <cell r="G16">
            <v>9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4</v>
          </cell>
          <cell r="D22">
            <v>4</v>
          </cell>
        </row>
        <row r="24">
          <cell r="C24">
            <v>8</v>
          </cell>
          <cell r="D24">
            <v>8</v>
          </cell>
        </row>
        <row r="26">
          <cell r="C26">
            <v>4</v>
          </cell>
          <cell r="D26">
            <v>4</v>
          </cell>
        </row>
        <row r="28">
          <cell r="C28">
            <v>8</v>
          </cell>
          <cell r="D28">
            <v>8</v>
          </cell>
          <cell r="F28">
            <v>9</v>
          </cell>
          <cell r="G28">
            <v>9</v>
          </cell>
        </row>
        <row r="30">
          <cell r="C30">
            <v>8</v>
          </cell>
          <cell r="D30">
            <v>8</v>
          </cell>
          <cell r="F30">
            <v>9</v>
          </cell>
          <cell r="G30">
            <v>9</v>
          </cell>
        </row>
        <row r="32">
          <cell r="C32">
            <v>8</v>
          </cell>
          <cell r="D32">
            <v>8</v>
          </cell>
          <cell r="F32">
            <v>9</v>
          </cell>
          <cell r="G32">
            <v>9</v>
          </cell>
        </row>
      </sheetData>
      <sheetData sheetId="8">
        <row r="4">
          <cell r="C4">
            <v>4</v>
          </cell>
          <cell r="D4">
            <v>4</v>
          </cell>
        </row>
        <row r="6">
          <cell r="C6">
            <v>8</v>
          </cell>
          <cell r="D6">
            <v>8</v>
          </cell>
        </row>
        <row r="8">
          <cell r="C8">
            <v>4</v>
          </cell>
          <cell r="D8">
            <v>4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8</v>
          </cell>
          <cell r="D14">
            <v>8</v>
          </cell>
          <cell r="F14">
            <v>9</v>
          </cell>
          <cell r="G14">
            <v>9</v>
          </cell>
        </row>
        <row r="16">
          <cell r="C16">
            <v>4</v>
          </cell>
          <cell r="D16">
            <v>4</v>
          </cell>
        </row>
        <row r="18">
          <cell r="C18">
            <v>8</v>
          </cell>
          <cell r="D18">
            <v>8</v>
          </cell>
        </row>
        <row r="20">
          <cell r="C20">
            <v>4</v>
          </cell>
          <cell r="D20">
            <v>4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8</v>
          </cell>
          <cell r="D26">
            <v>8</v>
          </cell>
          <cell r="F26">
            <v>9</v>
          </cell>
          <cell r="G26">
            <v>9</v>
          </cell>
        </row>
        <row r="28">
          <cell r="C28">
            <v>4</v>
          </cell>
          <cell r="D28">
            <v>4</v>
          </cell>
        </row>
      </sheetData>
      <sheetData sheetId="9">
        <row r="4">
          <cell r="C4">
            <v>8</v>
          </cell>
          <cell r="D4">
            <v>8</v>
          </cell>
        </row>
        <row r="6">
          <cell r="C6">
            <v>4</v>
          </cell>
          <cell r="D6">
            <v>4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8</v>
          </cell>
          <cell r="D12">
            <v>8</v>
          </cell>
          <cell r="F12">
            <v>9</v>
          </cell>
          <cell r="G12">
            <v>9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</row>
        <row r="18">
          <cell r="C18">
            <v>4</v>
          </cell>
          <cell r="D18">
            <v>4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8</v>
          </cell>
          <cell r="D24">
            <v>8</v>
          </cell>
          <cell r="F24">
            <v>9</v>
          </cell>
          <cell r="G24">
            <v>9</v>
          </cell>
        </row>
        <row r="26">
          <cell r="C26">
            <v>4</v>
          </cell>
          <cell r="D26">
            <v>4</v>
          </cell>
        </row>
        <row r="28">
          <cell r="C28">
            <v>8</v>
          </cell>
          <cell r="D28">
            <v>8</v>
          </cell>
        </row>
      </sheetData>
      <sheetData sheetId="10">
        <row r="4">
          <cell r="C4">
            <v>4</v>
          </cell>
          <cell r="D4">
            <v>4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8</v>
          </cell>
          <cell r="D10">
            <v>8</v>
          </cell>
          <cell r="F10">
            <v>9</v>
          </cell>
          <cell r="G10">
            <v>9</v>
          </cell>
        </row>
        <row r="12">
          <cell r="C12">
            <v>4</v>
          </cell>
          <cell r="D12">
            <v>4</v>
          </cell>
        </row>
        <row r="14">
          <cell r="C14">
            <v>8</v>
          </cell>
          <cell r="D14">
            <v>8</v>
          </cell>
        </row>
        <row r="16">
          <cell r="C16">
            <v>4</v>
          </cell>
          <cell r="D16">
            <v>4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8</v>
          </cell>
          <cell r="D22">
            <v>8</v>
          </cell>
          <cell r="F22">
            <v>9</v>
          </cell>
          <cell r="G22">
            <v>9</v>
          </cell>
        </row>
        <row r="24">
          <cell r="C24">
            <v>4</v>
          </cell>
          <cell r="D24">
            <v>4</v>
          </cell>
        </row>
        <row r="26">
          <cell r="C26">
            <v>8</v>
          </cell>
          <cell r="D26">
            <v>8</v>
          </cell>
        </row>
        <row r="28">
          <cell r="C28">
            <v>4</v>
          </cell>
          <cell r="D28">
            <v>4</v>
          </cell>
        </row>
      </sheetData>
      <sheetData sheetId="11">
        <row r="4">
          <cell r="C4">
            <v>8</v>
          </cell>
          <cell r="D4">
            <v>8</v>
          </cell>
          <cell r="F4">
            <v>9</v>
          </cell>
          <cell r="G4">
            <v>9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4</v>
          </cell>
          <cell r="D10">
            <v>4</v>
          </cell>
        </row>
        <row r="12">
          <cell r="C12">
            <v>8</v>
          </cell>
          <cell r="D12">
            <v>8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  <cell r="F16">
            <v>9</v>
          </cell>
          <cell r="G16">
            <v>9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4</v>
          </cell>
          <cell r="D22">
            <v>4</v>
          </cell>
        </row>
        <row r="24">
          <cell r="C24">
            <v>8</v>
          </cell>
          <cell r="D24">
            <v>8</v>
          </cell>
        </row>
        <row r="26">
          <cell r="C26">
            <v>4</v>
          </cell>
          <cell r="D26">
            <v>4</v>
          </cell>
        </row>
      </sheetData>
      <sheetData sheetId="12">
        <row r="4">
          <cell r="C4">
            <v>8</v>
          </cell>
          <cell r="D4">
            <v>8</v>
          </cell>
          <cell r="F4">
            <v>9</v>
          </cell>
          <cell r="G4">
            <v>9</v>
          </cell>
        </row>
        <row r="6">
          <cell r="C6">
            <v>8</v>
          </cell>
          <cell r="D6">
            <v>8</v>
          </cell>
          <cell r="F6">
            <v>9</v>
          </cell>
          <cell r="G6">
            <v>9</v>
          </cell>
        </row>
        <row r="8">
          <cell r="C8">
            <v>8</v>
          </cell>
          <cell r="D8">
            <v>8</v>
          </cell>
          <cell r="F8">
            <v>9</v>
          </cell>
          <cell r="G8">
            <v>9</v>
          </cell>
        </row>
        <row r="10">
          <cell r="C10">
            <v>4</v>
          </cell>
          <cell r="D10">
            <v>4</v>
          </cell>
        </row>
        <row r="12">
          <cell r="C12">
            <v>8</v>
          </cell>
          <cell r="D12">
            <v>8</v>
          </cell>
        </row>
        <row r="14">
          <cell r="C14">
            <v>4</v>
          </cell>
          <cell r="D14">
            <v>4</v>
          </cell>
        </row>
        <row r="16">
          <cell r="C16">
            <v>8</v>
          </cell>
          <cell r="D16">
            <v>8</v>
          </cell>
          <cell r="F16">
            <v>9</v>
          </cell>
          <cell r="G16">
            <v>9</v>
          </cell>
        </row>
        <row r="18">
          <cell r="C18">
            <v>8</v>
          </cell>
          <cell r="D18">
            <v>8</v>
          </cell>
          <cell r="F18">
            <v>9</v>
          </cell>
          <cell r="G18">
            <v>9</v>
          </cell>
        </row>
        <row r="20">
          <cell r="C20">
            <v>8</v>
          </cell>
          <cell r="D20">
            <v>8</v>
          </cell>
          <cell r="F20">
            <v>9</v>
          </cell>
          <cell r="G20">
            <v>9</v>
          </cell>
        </row>
        <row r="22">
          <cell r="C22">
            <v>4</v>
          </cell>
          <cell r="D22">
            <v>4</v>
          </cell>
        </row>
        <row r="24">
          <cell r="C24">
            <v>8</v>
          </cell>
          <cell r="D24">
            <v>8</v>
          </cell>
        </row>
        <row r="26">
          <cell r="C26">
            <v>4</v>
          </cell>
          <cell r="D26">
            <v>4</v>
          </cell>
        </row>
        <row r="28">
          <cell r="C28">
            <v>8</v>
          </cell>
          <cell r="D28">
            <v>8</v>
          </cell>
          <cell r="F28">
            <v>9</v>
          </cell>
          <cell r="G28">
            <v>9</v>
          </cell>
        </row>
        <row r="30">
          <cell r="C30">
            <v>8</v>
          </cell>
          <cell r="D30">
            <v>8</v>
          </cell>
          <cell r="F30">
            <v>9</v>
          </cell>
          <cell r="G30">
            <v>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Recap"/>
      <sheetName val="Template"/>
    </sheetNames>
    <sheetDataSet>
      <sheetData sheetId="0">
        <row r="36">
          <cell r="C36">
            <v>63.5</v>
          </cell>
          <cell r="D36">
            <v>30.25</v>
          </cell>
          <cell r="F36">
            <v>30.25</v>
          </cell>
          <cell r="G36">
            <v>6.5</v>
          </cell>
          <cell r="J36">
            <v>20.5</v>
          </cell>
          <cell r="K36">
            <v>6</v>
          </cell>
          <cell r="M36">
            <v>13.5</v>
          </cell>
          <cell r="N36">
            <v>34.75</v>
          </cell>
          <cell r="Q36">
            <v>95</v>
          </cell>
        </row>
      </sheetData>
      <sheetData sheetId="1">
        <row r="36">
          <cell r="C36">
            <v>47.5</v>
          </cell>
          <cell r="D36">
            <v>15.5</v>
          </cell>
          <cell r="E36">
            <v>23.25</v>
          </cell>
          <cell r="F36">
            <v>15.5</v>
          </cell>
          <cell r="G36">
            <v>10.5</v>
          </cell>
          <cell r="J36">
            <v>8.25</v>
          </cell>
          <cell r="K36">
            <v>4</v>
          </cell>
          <cell r="L36">
            <v>32.75</v>
          </cell>
          <cell r="M36">
            <v>7.5</v>
          </cell>
          <cell r="N36">
            <v>31.5</v>
          </cell>
          <cell r="Q36">
            <v>45</v>
          </cell>
        </row>
      </sheetData>
      <sheetData sheetId="2">
        <row r="36">
          <cell r="C36">
            <v>52</v>
          </cell>
          <cell r="D36">
            <v>15.5</v>
          </cell>
          <cell r="E36">
            <v>16.5</v>
          </cell>
          <cell r="F36">
            <v>16</v>
          </cell>
          <cell r="G36">
            <v>8</v>
          </cell>
          <cell r="J36">
            <v>19</v>
          </cell>
          <cell r="K36">
            <v>3</v>
          </cell>
          <cell r="L36">
            <v>40.25</v>
          </cell>
          <cell r="M36">
            <v>8.0500000000000007</v>
          </cell>
          <cell r="N36">
            <v>36.5</v>
          </cell>
          <cell r="Q36">
            <v>100</v>
          </cell>
        </row>
      </sheetData>
      <sheetData sheetId="3">
        <row r="36">
          <cell r="C36">
            <v>42</v>
          </cell>
          <cell r="D36">
            <v>18</v>
          </cell>
          <cell r="E36">
            <v>23</v>
          </cell>
          <cell r="F36">
            <v>17.25</v>
          </cell>
          <cell r="G36">
            <v>10</v>
          </cell>
          <cell r="J36">
            <v>17.75</v>
          </cell>
          <cell r="K36">
            <v>6</v>
          </cell>
          <cell r="L36">
            <v>46.75</v>
          </cell>
          <cell r="M36">
            <v>9.5</v>
          </cell>
          <cell r="N36">
            <v>39.75</v>
          </cell>
          <cell r="Q36">
            <v>83</v>
          </cell>
        </row>
      </sheetData>
      <sheetData sheetId="4">
        <row r="36">
          <cell r="C36">
            <v>60.5</v>
          </cell>
          <cell r="D36">
            <v>17</v>
          </cell>
          <cell r="E36">
            <v>15.75</v>
          </cell>
          <cell r="F36">
            <v>16.5</v>
          </cell>
          <cell r="G36">
            <v>8.75</v>
          </cell>
          <cell r="J36">
            <v>30</v>
          </cell>
          <cell r="K36">
            <v>2</v>
          </cell>
          <cell r="L36">
            <v>43.25</v>
          </cell>
          <cell r="M36">
            <v>8.5</v>
          </cell>
          <cell r="N36">
            <v>34</v>
          </cell>
          <cell r="Q36">
            <v>85.75</v>
          </cell>
        </row>
      </sheetData>
      <sheetData sheetId="5">
        <row r="36">
          <cell r="C36">
            <v>51.5</v>
          </cell>
          <cell r="D36">
            <v>18</v>
          </cell>
          <cell r="E36">
            <v>25.75</v>
          </cell>
          <cell r="F36">
            <v>14.25</v>
          </cell>
          <cell r="G36">
            <v>11.75</v>
          </cell>
          <cell r="J36">
            <v>14.5</v>
          </cell>
          <cell r="K36">
            <v>3</v>
          </cell>
          <cell r="L36">
            <v>46.75</v>
          </cell>
          <cell r="M36">
            <v>16.5</v>
          </cell>
          <cell r="N36">
            <v>44.25</v>
          </cell>
          <cell r="Q36">
            <v>94</v>
          </cell>
        </row>
      </sheetData>
      <sheetData sheetId="6">
        <row r="36">
          <cell r="C36">
            <v>58.25</v>
          </cell>
          <cell r="D36">
            <v>31</v>
          </cell>
          <cell r="E36">
            <v>11</v>
          </cell>
          <cell r="F36">
            <v>28.5</v>
          </cell>
          <cell r="G36">
            <v>11.25</v>
          </cell>
          <cell r="J36">
            <v>52.75</v>
          </cell>
          <cell r="K36">
            <v>4</v>
          </cell>
          <cell r="L36">
            <v>84.5</v>
          </cell>
          <cell r="M36">
            <v>35</v>
          </cell>
          <cell r="N36">
            <v>72.25</v>
          </cell>
          <cell r="Q36">
            <v>126.75</v>
          </cell>
        </row>
      </sheetData>
      <sheetData sheetId="7">
        <row r="36">
          <cell r="C36">
            <v>61</v>
          </cell>
          <cell r="D36">
            <v>19.75</v>
          </cell>
          <cell r="E36">
            <v>14.75</v>
          </cell>
          <cell r="F36">
            <v>27</v>
          </cell>
          <cell r="G36">
            <v>3.75</v>
          </cell>
          <cell r="J36">
            <v>36.5</v>
          </cell>
          <cell r="K36">
            <v>10</v>
          </cell>
          <cell r="L36">
            <v>82.75</v>
          </cell>
          <cell r="M36">
            <v>21.5</v>
          </cell>
          <cell r="N36">
            <v>91.75</v>
          </cell>
          <cell r="Q36">
            <v>125.25</v>
          </cell>
        </row>
      </sheetData>
      <sheetData sheetId="8">
        <row r="36">
          <cell r="C36">
            <v>55.25</v>
          </cell>
          <cell r="D36">
            <v>19.5</v>
          </cell>
          <cell r="E36">
            <v>13.25</v>
          </cell>
          <cell r="F36">
            <v>17.5</v>
          </cell>
          <cell r="G36">
            <v>20</v>
          </cell>
          <cell r="J36">
            <v>35.75</v>
          </cell>
          <cell r="K36">
            <v>1</v>
          </cell>
          <cell r="L36">
            <v>39.75</v>
          </cell>
          <cell r="M36">
            <v>9</v>
          </cell>
          <cell r="N36">
            <v>34.75</v>
          </cell>
          <cell r="Q36">
            <v>80</v>
          </cell>
        </row>
      </sheetData>
      <sheetData sheetId="9">
        <row r="36">
          <cell r="C36">
            <v>63.75</v>
          </cell>
          <cell r="D36">
            <v>22</v>
          </cell>
          <cell r="E36">
            <v>12.5</v>
          </cell>
          <cell r="F36">
            <v>15.5</v>
          </cell>
          <cell r="G36">
            <v>3.75</v>
          </cell>
          <cell r="J36">
            <v>24.5</v>
          </cell>
          <cell r="K36">
            <v>0</v>
          </cell>
          <cell r="L36">
            <v>42.5</v>
          </cell>
          <cell r="M36">
            <v>17</v>
          </cell>
          <cell r="N36">
            <v>30.25</v>
          </cell>
          <cell r="Q36">
            <v>96.25</v>
          </cell>
        </row>
      </sheetData>
      <sheetData sheetId="10">
        <row r="36">
          <cell r="C36">
            <v>60.25</v>
          </cell>
          <cell r="D36">
            <v>17</v>
          </cell>
          <cell r="E36">
            <v>9.25</v>
          </cell>
          <cell r="F36">
            <v>16.75</v>
          </cell>
          <cell r="G36">
            <v>14.5</v>
          </cell>
          <cell r="J36">
            <v>18</v>
          </cell>
          <cell r="K36">
            <v>5</v>
          </cell>
          <cell r="L36">
            <v>38.75</v>
          </cell>
          <cell r="M36">
            <v>17.75</v>
          </cell>
          <cell r="N36">
            <v>24.75</v>
          </cell>
          <cell r="Q36">
            <v>80.75</v>
          </cell>
        </row>
      </sheetData>
      <sheetData sheetId="11">
        <row r="36">
          <cell r="C36">
            <v>45.25</v>
          </cell>
          <cell r="D36">
            <v>18</v>
          </cell>
          <cell r="E36">
            <v>0</v>
          </cell>
          <cell r="F36">
            <v>15.75</v>
          </cell>
          <cell r="G36">
            <v>1.25</v>
          </cell>
          <cell r="J36">
            <v>17.5</v>
          </cell>
          <cell r="K36">
            <v>1</v>
          </cell>
          <cell r="L36">
            <v>33</v>
          </cell>
          <cell r="M36">
            <v>4.5</v>
          </cell>
          <cell r="N36">
            <v>26.75</v>
          </cell>
          <cell r="Q36">
            <v>68.75</v>
          </cell>
        </row>
      </sheetData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References"/>
      <sheetName val="Staff calcs "/>
    </sheetNames>
    <sheetDataSet>
      <sheetData sheetId="0" refreshError="1"/>
      <sheetData sheetId="1" refreshError="1"/>
      <sheetData sheetId="2">
        <row r="55">
          <cell r="W55">
            <v>823.62418053059014</v>
          </cell>
        </row>
        <row r="56">
          <cell r="W56">
            <v>176.41693782226298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0"/>
  <sheetViews>
    <sheetView workbookViewId="0">
      <pane xSplit="1" ySplit="8" topLeftCell="S42" activePane="bottomRight" state="frozen"/>
      <selection pane="topRight" activeCell="B1" sqref="B1"/>
      <selection pane="bottomLeft" activeCell="A9" sqref="A9"/>
      <selection pane="bottomRight" activeCell="AC12" sqref="AC12"/>
    </sheetView>
  </sheetViews>
  <sheetFormatPr defaultColWidth="8.88671875" defaultRowHeight="12.75"/>
  <cols>
    <col min="1" max="1" width="30.5546875" style="332" customWidth="1"/>
    <col min="2" max="2" width="7.21875" style="332" bestFit="1" customWidth="1"/>
    <col min="3" max="13" width="6.77734375" style="332" bestFit="1" customWidth="1"/>
    <col min="14" max="14" width="8.44140625" style="332" bestFit="1" customWidth="1"/>
    <col min="15" max="15" width="2.5546875" style="300" customWidth="1"/>
    <col min="16" max="16" width="10.109375" style="303" bestFit="1" customWidth="1"/>
    <col min="17" max="17" width="11.44140625" style="303" customWidth="1"/>
    <col min="18" max="18" width="10.109375" style="303" bestFit="1" customWidth="1"/>
    <col min="19" max="19" width="9.77734375" style="303" bestFit="1" customWidth="1"/>
    <col min="20" max="20" width="10.109375" style="303" bestFit="1" customWidth="1"/>
    <col min="21" max="21" width="9.77734375" style="303" bestFit="1" customWidth="1"/>
    <col min="22" max="22" width="10.109375" style="303" bestFit="1" customWidth="1"/>
    <col min="23" max="23" width="1.77734375" style="300" customWidth="1"/>
    <col min="24" max="24" width="10.109375" style="303" bestFit="1" customWidth="1"/>
    <col min="25" max="25" width="10.109375" style="303" customWidth="1"/>
    <col min="26" max="26" width="10.33203125" style="303" customWidth="1"/>
    <col min="27" max="27" width="10.109375" style="303" bestFit="1" customWidth="1"/>
    <col min="28" max="28" width="2.5546875" style="303" customWidth="1"/>
    <col min="29" max="29" width="9.6640625" style="303" customWidth="1"/>
    <col min="30" max="32" width="8.88671875" style="303"/>
    <col min="33" max="33" width="7.6640625" style="303" bestFit="1" customWidth="1"/>
    <col min="34" max="37" width="7.109375" style="303" customWidth="1"/>
    <col min="38" max="38" width="8.44140625" style="303" bestFit="1" customWidth="1"/>
    <col min="39" max="39" width="3.77734375" style="300" customWidth="1"/>
    <col min="40" max="41" width="8.88671875" style="303"/>
    <col min="42" max="42" width="7.88671875" style="303" customWidth="1"/>
    <col min="43" max="46" width="7.109375" style="303" customWidth="1"/>
    <col min="47" max="47" width="8.88671875" style="303" bestFit="1" customWidth="1"/>
    <col min="48" max="16384" width="8.88671875" style="303"/>
  </cols>
  <sheetData>
    <row r="1" spans="1:47">
      <c r="A1" s="566" t="s">
        <v>359</v>
      </c>
      <c r="B1" s="297"/>
      <c r="C1" s="297"/>
      <c r="D1" s="297"/>
      <c r="E1" s="297"/>
      <c r="F1" s="297"/>
      <c r="G1" s="297"/>
      <c r="H1" s="298"/>
      <c r="I1" s="299"/>
      <c r="J1" s="299"/>
      <c r="K1" s="299"/>
      <c r="L1" s="299"/>
      <c r="M1" s="299"/>
      <c r="N1" s="299"/>
      <c r="P1" s="301"/>
      <c r="Q1" s="301"/>
      <c r="R1" s="301"/>
      <c r="S1" s="301"/>
      <c r="T1" s="301"/>
      <c r="U1" s="301"/>
      <c r="V1" s="301"/>
      <c r="W1" s="302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2"/>
      <c r="AN1" s="301">
        <f>+AC1</f>
        <v>0</v>
      </c>
      <c r="AO1" s="301"/>
      <c r="AP1" s="301"/>
      <c r="AQ1" s="301"/>
      <c r="AR1" s="301"/>
      <c r="AS1" s="301"/>
      <c r="AT1" s="301"/>
      <c r="AU1" s="301"/>
    </row>
    <row r="2" spans="1:47">
      <c r="A2" s="296"/>
      <c r="B2" s="297"/>
      <c r="C2" s="297"/>
      <c r="D2" s="297"/>
      <c r="E2" s="297"/>
      <c r="F2" s="297"/>
      <c r="G2" s="297"/>
      <c r="H2" s="298"/>
      <c r="I2" s="299"/>
      <c r="J2" s="299"/>
      <c r="K2" s="299"/>
      <c r="L2" s="299"/>
      <c r="M2" s="299"/>
      <c r="N2" s="299"/>
      <c r="P2" s="301" t="s">
        <v>205</v>
      </c>
      <c r="Q2" s="301"/>
      <c r="R2" s="301"/>
      <c r="S2" s="301"/>
      <c r="T2" s="301"/>
      <c r="U2" s="301"/>
      <c r="V2" s="301"/>
      <c r="W2" s="302"/>
      <c r="X2" s="301"/>
      <c r="Y2" s="301"/>
      <c r="Z2" s="301"/>
      <c r="AA2" s="301"/>
      <c r="AB2" s="301"/>
      <c r="AC2" s="301" t="s">
        <v>206</v>
      </c>
      <c r="AD2" s="301"/>
      <c r="AE2" s="301"/>
      <c r="AF2" s="301"/>
      <c r="AG2" s="301"/>
      <c r="AH2" s="301"/>
      <c r="AI2" s="301"/>
      <c r="AJ2" s="301"/>
      <c r="AK2" s="301"/>
      <c r="AL2" s="301"/>
      <c r="AM2" s="302"/>
      <c r="AN2" s="301" t="s">
        <v>207</v>
      </c>
      <c r="AO2" s="301"/>
      <c r="AP2" s="301"/>
      <c r="AQ2" s="301"/>
      <c r="AR2" s="301"/>
      <c r="AS2" s="301"/>
      <c r="AT2" s="301"/>
      <c r="AU2" s="301"/>
    </row>
    <row r="3" spans="1:47" ht="15">
      <c r="A3" s="296"/>
      <c r="B3" s="297"/>
      <c r="C3" s="297"/>
      <c r="D3" s="297"/>
      <c r="E3" s="297"/>
      <c r="F3" s="297"/>
      <c r="G3" s="297"/>
      <c r="H3" s="298" t="s">
        <v>507</v>
      </c>
      <c r="I3" s="299"/>
      <c r="J3" s="299"/>
      <c r="K3" s="299"/>
      <c r="L3" s="299"/>
      <c r="M3" s="299"/>
      <c r="N3" s="299"/>
      <c r="P3" s="565" t="s">
        <v>506</v>
      </c>
      <c r="Q3" s="301"/>
      <c r="R3" s="301"/>
      <c r="S3" s="301"/>
      <c r="T3" s="301"/>
      <c r="U3" s="304"/>
      <c r="V3" s="301"/>
      <c r="W3" s="302"/>
      <c r="X3" s="301"/>
      <c r="Y3" s="301"/>
      <c r="Z3" s="304"/>
      <c r="AA3" s="301"/>
      <c r="AB3" s="301"/>
      <c r="AC3" s="301" t="str">
        <f>+P3</f>
        <v>Test year ended December 31, 2017</v>
      </c>
      <c r="AD3" s="301"/>
      <c r="AE3" s="301"/>
      <c r="AF3" s="301"/>
      <c r="AG3" s="301"/>
      <c r="AH3" s="301"/>
      <c r="AI3" s="301"/>
      <c r="AJ3" s="301"/>
      <c r="AK3" s="301"/>
      <c r="AL3" s="301"/>
      <c r="AM3" s="302"/>
      <c r="AN3" s="301" t="str">
        <f>+AC3</f>
        <v>Test year ended December 31, 2017</v>
      </c>
      <c r="AO3" s="301"/>
      <c r="AP3" s="301"/>
      <c r="AQ3" s="301"/>
      <c r="AR3" s="301"/>
      <c r="AS3" s="301"/>
      <c r="AT3" s="301"/>
      <c r="AU3" s="301"/>
    </row>
    <row r="4" spans="1:47" ht="15">
      <c r="A4" s="296"/>
      <c r="B4" s="297"/>
      <c r="C4" s="297"/>
      <c r="D4" s="297"/>
      <c r="E4" s="297"/>
      <c r="F4" s="297"/>
      <c r="G4" s="297"/>
      <c r="H4" s="298"/>
      <c r="I4" s="299"/>
      <c r="J4" s="299"/>
      <c r="K4" s="299"/>
      <c r="L4" s="299"/>
      <c r="M4" s="299"/>
      <c r="N4" s="299"/>
      <c r="P4" s="301"/>
      <c r="Q4" s="301"/>
      <c r="R4" s="301"/>
      <c r="S4" s="301"/>
      <c r="T4" s="301"/>
      <c r="U4" s="541"/>
      <c r="V4" s="301"/>
      <c r="W4" s="302"/>
      <c r="X4" s="301"/>
      <c r="Y4" s="301"/>
      <c r="Z4" s="54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2"/>
      <c r="AN4" s="301"/>
      <c r="AO4" s="301"/>
      <c r="AP4" s="301"/>
      <c r="AQ4" s="301"/>
      <c r="AR4" s="301"/>
      <c r="AS4" s="301"/>
      <c r="AT4" s="301"/>
      <c r="AU4" s="301"/>
    </row>
    <row r="5" spans="1:47" ht="15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P5" s="306"/>
      <c r="Q5" s="312" t="s">
        <v>470</v>
      </c>
      <c r="R5" s="306"/>
      <c r="S5" s="306"/>
      <c r="T5" s="306"/>
      <c r="U5" s="307"/>
      <c r="V5" s="306"/>
      <c r="W5" s="308"/>
      <c r="X5" s="306"/>
      <c r="Y5" s="306"/>
      <c r="Z5" s="307"/>
      <c r="AA5" s="312" t="s">
        <v>509</v>
      </c>
      <c r="AB5" s="306"/>
      <c r="AC5" s="306" t="s">
        <v>208</v>
      </c>
      <c r="AD5" s="306" t="s">
        <v>209</v>
      </c>
      <c r="AE5" s="306" t="s">
        <v>210</v>
      </c>
      <c r="AF5" s="306"/>
      <c r="AG5" s="306" t="s">
        <v>211</v>
      </c>
      <c r="AH5" s="306" t="s">
        <v>212</v>
      </c>
      <c r="AI5" s="306" t="s">
        <v>213</v>
      </c>
      <c r="AJ5" s="306" t="s">
        <v>214</v>
      </c>
      <c r="AK5" s="306" t="s">
        <v>215</v>
      </c>
      <c r="AL5" s="306"/>
      <c r="AM5" s="308"/>
      <c r="AN5" s="306" t="s">
        <v>216</v>
      </c>
      <c r="AO5" s="306" t="s">
        <v>217</v>
      </c>
      <c r="AP5" s="306" t="s">
        <v>218</v>
      </c>
      <c r="AQ5" s="306" t="s">
        <v>219</v>
      </c>
      <c r="AR5" s="306" t="s">
        <v>220</v>
      </c>
      <c r="AS5" s="306" t="s">
        <v>221</v>
      </c>
      <c r="AT5" s="306" t="s">
        <v>222</v>
      </c>
      <c r="AU5" s="306"/>
    </row>
    <row r="6" spans="1:47" ht="13.5" thickBo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P6" s="306" t="s">
        <v>223</v>
      </c>
      <c r="Q6" s="314" t="s">
        <v>471</v>
      </c>
      <c r="R6" s="306"/>
      <c r="S6" s="306"/>
      <c r="T6" s="306"/>
      <c r="U6" s="306" t="s">
        <v>224</v>
      </c>
      <c r="V6" s="306" t="s">
        <v>225</v>
      </c>
      <c r="W6" s="302"/>
      <c r="X6" s="312" t="s">
        <v>509</v>
      </c>
      <c r="Y6" s="312" t="s">
        <v>509</v>
      </c>
      <c r="Z6" s="306" t="s">
        <v>224</v>
      </c>
      <c r="AA6" s="306" t="s">
        <v>225</v>
      </c>
      <c r="AB6" s="306"/>
      <c r="AC6" s="301"/>
      <c r="AD6" s="301"/>
      <c r="AE6" s="301"/>
      <c r="AF6" s="301"/>
      <c r="AG6" s="301"/>
      <c r="AH6" s="301"/>
      <c r="AI6" s="301"/>
      <c r="AJ6" s="301"/>
      <c r="AK6" s="301"/>
      <c r="AL6" s="306" t="s">
        <v>103</v>
      </c>
      <c r="AM6" s="302"/>
      <c r="AN6" s="306"/>
      <c r="AO6" s="306"/>
      <c r="AP6" s="309">
        <v>40940</v>
      </c>
      <c r="AQ6" s="306"/>
      <c r="AR6" s="306"/>
      <c r="AS6" s="306"/>
      <c r="AT6" s="306"/>
      <c r="AU6" s="306" t="s">
        <v>103</v>
      </c>
    </row>
    <row r="7" spans="1:47">
      <c r="A7" s="305"/>
      <c r="B7" s="310" t="s">
        <v>226</v>
      </c>
      <c r="C7" s="310" t="s">
        <v>227</v>
      </c>
      <c r="D7" s="310" t="s">
        <v>228</v>
      </c>
      <c r="E7" s="310" t="s">
        <v>229</v>
      </c>
      <c r="F7" s="310" t="s">
        <v>230</v>
      </c>
      <c r="G7" s="310" t="s">
        <v>231</v>
      </c>
      <c r="H7" s="310" t="s">
        <v>232</v>
      </c>
      <c r="I7" s="310" t="s">
        <v>233</v>
      </c>
      <c r="J7" s="310" t="s">
        <v>234</v>
      </c>
      <c r="K7" s="310" t="s">
        <v>235</v>
      </c>
      <c r="L7" s="310" t="s">
        <v>236</v>
      </c>
      <c r="M7" s="310" t="s">
        <v>237</v>
      </c>
      <c r="N7" s="311"/>
      <c r="P7" s="306" t="s">
        <v>238</v>
      </c>
      <c r="Q7" s="306" t="s">
        <v>239</v>
      </c>
      <c r="R7" s="306" t="s">
        <v>240</v>
      </c>
      <c r="S7" s="306" t="s">
        <v>225</v>
      </c>
      <c r="T7" s="306" t="s">
        <v>225</v>
      </c>
      <c r="U7" s="306" t="s">
        <v>241</v>
      </c>
      <c r="V7" s="306" t="s">
        <v>242</v>
      </c>
      <c r="W7" s="302"/>
      <c r="X7" s="312" t="s">
        <v>240</v>
      </c>
      <c r="Y7" s="312" t="s">
        <v>225</v>
      </c>
      <c r="Z7" s="306" t="s">
        <v>241</v>
      </c>
      <c r="AA7" s="306" t="s">
        <v>242</v>
      </c>
      <c r="AB7" s="306"/>
      <c r="AC7" s="306" t="s">
        <v>243</v>
      </c>
      <c r="AD7" s="306" t="s">
        <v>244</v>
      </c>
      <c r="AE7" s="306" t="s">
        <v>245</v>
      </c>
      <c r="AF7" s="306" t="s">
        <v>246</v>
      </c>
      <c r="AG7" s="306" t="s">
        <v>247</v>
      </c>
      <c r="AH7" s="301"/>
      <c r="AI7" s="301"/>
      <c r="AJ7" s="301"/>
      <c r="AK7" s="301"/>
      <c r="AL7" s="306" t="s">
        <v>239</v>
      </c>
      <c r="AM7" s="302"/>
      <c r="AN7" s="306" t="s">
        <v>244</v>
      </c>
      <c r="AO7" s="312" t="s">
        <v>248</v>
      </c>
      <c r="AP7" s="312" t="s">
        <v>249</v>
      </c>
      <c r="AQ7" s="306"/>
      <c r="AR7" s="306"/>
      <c r="AS7" s="306"/>
      <c r="AT7" s="306"/>
      <c r="AU7" s="306" t="s">
        <v>225</v>
      </c>
    </row>
    <row r="8" spans="1:47" ht="13.5" thickBot="1">
      <c r="A8" s="305"/>
      <c r="B8" s="313" t="s">
        <v>250</v>
      </c>
      <c r="C8" s="313" t="s">
        <v>250</v>
      </c>
      <c r="D8" s="313" t="s">
        <v>250</v>
      </c>
      <c r="E8" s="313" t="s">
        <v>250</v>
      </c>
      <c r="F8" s="313" t="s">
        <v>250</v>
      </c>
      <c r="G8" s="313" t="s">
        <v>250</v>
      </c>
      <c r="H8" s="313" t="s">
        <v>250</v>
      </c>
      <c r="I8" s="313" t="s">
        <v>250</v>
      </c>
      <c r="J8" s="313" t="s">
        <v>250</v>
      </c>
      <c r="K8" s="313" t="s">
        <v>250</v>
      </c>
      <c r="L8" s="313" t="s">
        <v>250</v>
      </c>
      <c r="M8" s="313" t="s">
        <v>250</v>
      </c>
      <c r="N8" s="313" t="s">
        <v>103</v>
      </c>
      <c r="P8" s="314" t="s">
        <v>103</v>
      </c>
      <c r="Q8" s="314" t="s">
        <v>251</v>
      </c>
      <c r="R8" s="314" t="s">
        <v>103</v>
      </c>
      <c r="S8" s="314" t="s">
        <v>251</v>
      </c>
      <c r="T8" s="314" t="s">
        <v>252</v>
      </c>
      <c r="U8" s="314" t="s">
        <v>253</v>
      </c>
      <c r="V8" s="315" t="s">
        <v>253</v>
      </c>
      <c r="W8" s="316"/>
      <c r="X8" s="314" t="s">
        <v>252</v>
      </c>
      <c r="Y8" s="314" t="s">
        <v>252</v>
      </c>
      <c r="Z8" s="314" t="s">
        <v>253</v>
      </c>
      <c r="AA8" s="315" t="s">
        <v>253</v>
      </c>
      <c r="AB8" s="315"/>
      <c r="AC8" s="314" t="s">
        <v>254</v>
      </c>
      <c r="AD8" s="314" t="s">
        <v>255</v>
      </c>
      <c r="AE8" s="314" t="s">
        <v>29</v>
      </c>
      <c r="AF8" s="314" t="s">
        <v>251</v>
      </c>
      <c r="AG8" s="314" t="s">
        <v>12</v>
      </c>
      <c r="AH8" s="317"/>
      <c r="AI8" s="317"/>
      <c r="AJ8" s="317"/>
      <c r="AK8" s="317"/>
      <c r="AL8" s="315" t="s">
        <v>256</v>
      </c>
      <c r="AM8" s="316"/>
      <c r="AN8" s="318" t="s">
        <v>257</v>
      </c>
      <c r="AO8" s="318" t="s">
        <v>258</v>
      </c>
      <c r="AP8" s="319" t="s">
        <v>258</v>
      </c>
      <c r="AQ8" s="315"/>
      <c r="AR8" s="315"/>
      <c r="AS8" s="315"/>
      <c r="AT8" s="315"/>
      <c r="AU8" s="315" t="s">
        <v>256</v>
      </c>
    </row>
    <row r="9" spans="1:47" ht="15">
      <c r="A9" s="320" t="s">
        <v>472</v>
      </c>
      <c r="B9" s="321">
        <v>1471.72</v>
      </c>
      <c r="C9" s="321">
        <v>11113.67</v>
      </c>
      <c r="D9" s="321">
        <v>700.33</v>
      </c>
      <c r="E9" s="321">
        <v>8351.09</v>
      </c>
      <c r="F9" s="321">
        <v>2019.58</v>
      </c>
      <c r="G9" s="321">
        <v>13111.34</v>
      </c>
      <c r="H9" s="321">
        <v>3844.38</v>
      </c>
      <c r="I9" s="321">
        <v>3667.87</v>
      </c>
      <c r="J9" s="321">
        <v>13217.68</v>
      </c>
      <c r="K9" s="321">
        <v>12828.51</v>
      </c>
      <c r="L9" s="321">
        <v>1230.96</v>
      </c>
      <c r="M9" s="321">
        <v>12448.06</v>
      </c>
      <c r="N9" s="321">
        <f>SUM(B9:M9)</f>
        <v>84005.19</v>
      </c>
      <c r="P9" s="322">
        <f>+N9</f>
        <v>84005.19</v>
      </c>
      <c r="Q9" s="322">
        <v>-14634</v>
      </c>
      <c r="R9" s="322">
        <f t="shared" ref="R9:R16" si="0">+P9+Q9</f>
        <v>69371.19</v>
      </c>
      <c r="S9" s="322">
        <f>+AU9</f>
        <v>0</v>
      </c>
      <c r="T9" s="322">
        <f>+R9+S9</f>
        <v>69371.19</v>
      </c>
      <c r="U9" s="322">
        <f ca="1">'Current Price out'!M20+'Current Price out'!M42</f>
        <v>3654.6390493355052</v>
      </c>
      <c r="V9" s="322">
        <f ca="1">+T9+U9</f>
        <v>73025.829049335502</v>
      </c>
      <c r="X9" s="322">
        <f ca="1">V9</f>
        <v>73025.829049335502</v>
      </c>
      <c r="Y9" s="322">
        <f ca="1">'Garbage Adj.'!L7</f>
        <v>252645.50287963514</v>
      </c>
      <c r="Z9" s="322">
        <f ca="1">'Projected price out'!M20+'Projected price out'!M42</f>
        <v>21045.238047631174</v>
      </c>
      <c r="AA9" s="322">
        <f ca="1">SUM(X9:Z9)</f>
        <v>346716.56997660181</v>
      </c>
      <c r="AB9" s="322"/>
      <c r="AL9" s="322">
        <f>SUM(AC9:AK9)</f>
        <v>0</v>
      </c>
      <c r="AU9" s="322">
        <f>SUM(AN9:AT9)</f>
        <v>0</v>
      </c>
    </row>
    <row r="10" spans="1:47" ht="15">
      <c r="A10" s="320" t="s">
        <v>473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P10" s="322"/>
      <c r="Q10" s="322">
        <v>18916</v>
      </c>
      <c r="R10" s="322">
        <f t="shared" si="0"/>
        <v>18916</v>
      </c>
      <c r="S10" s="322">
        <f>+AU10</f>
        <v>0</v>
      </c>
      <c r="T10" s="322">
        <f>+R10+S10</f>
        <v>18916</v>
      </c>
      <c r="U10" s="322">
        <f ca="1">'Current Price out'!M72</f>
        <v>25348.615374918518</v>
      </c>
      <c r="V10" s="322">
        <f ca="1">+T10+U10</f>
        <v>44264.615374918518</v>
      </c>
      <c r="X10" s="322">
        <f t="shared" ref="X10:X16" ca="1" si="1">V10</f>
        <v>44264.615374918518</v>
      </c>
      <c r="Y10" s="322">
        <f ca="1">'Recycling Adj.'!L8</f>
        <v>295391.78593241464</v>
      </c>
      <c r="Z10" s="322">
        <f ca="1">'Projected price out'!M73+'Projected price out'!M74</f>
        <v>-173355.0698537202</v>
      </c>
      <c r="AA10" s="322">
        <f t="shared" ref="AA10:AA16" ca="1" si="2">SUM(X10:Z10)</f>
        <v>166301.33145361295</v>
      </c>
      <c r="AB10" s="322"/>
      <c r="AL10" s="322"/>
      <c r="AU10" s="322"/>
    </row>
    <row r="11" spans="1:47" ht="15">
      <c r="A11" s="320" t="s">
        <v>260</v>
      </c>
      <c r="B11" s="321">
        <v>6320</v>
      </c>
      <c r="C11" s="321">
        <v>5113.8999999999996</v>
      </c>
      <c r="D11" s="321">
        <v>5695.55</v>
      </c>
      <c r="E11" s="321">
        <v>5827.05</v>
      </c>
      <c r="F11" s="321">
        <v>7250.25</v>
      </c>
      <c r="G11" s="321">
        <v>7412.6</v>
      </c>
      <c r="H11" s="321">
        <v>13118.43</v>
      </c>
      <c r="I11" s="321">
        <v>8821.85</v>
      </c>
      <c r="J11" s="321">
        <v>7825.45</v>
      </c>
      <c r="K11" s="321">
        <v>7354.85</v>
      </c>
      <c r="L11" s="321">
        <v>7146.1</v>
      </c>
      <c r="M11" s="321">
        <v>5471.45</v>
      </c>
      <c r="N11" s="321">
        <f t="shared" ref="N11:N16" si="3">SUM(B11:M11)</f>
        <v>87357.48000000001</v>
      </c>
      <c r="P11" s="322">
        <f t="shared" ref="P11:P16" si="4">+N11</f>
        <v>87357.48000000001</v>
      </c>
      <c r="Q11" s="322">
        <f>84854-P11</f>
        <v>-2503.4800000000105</v>
      </c>
      <c r="R11" s="322">
        <f t="shared" si="0"/>
        <v>84854</v>
      </c>
      <c r="S11" s="322">
        <f t="shared" ref="S11:S16" si="5">+AU11</f>
        <v>0</v>
      </c>
      <c r="T11" s="322">
        <f t="shared" ref="T11:T16" si="6">+R11+S11</f>
        <v>84854</v>
      </c>
      <c r="U11" s="322">
        <f ca="1">'Current Price out'!M34+'Current Price out'!M47</f>
        <v>4496.6101937941876</v>
      </c>
      <c r="V11" s="322">
        <f t="shared" ref="V11:V16" ca="1" si="7">+T11+U11</f>
        <v>89350.610193794186</v>
      </c>
      <c r="X11" s="322">
        <f t="shared" ca="1" si="1"/>
        <v>89350.610193794186</v>
      </c>
      <c r="Y11" s="322">
        <f>'Garbage Adj.'!L9</f>
        <v>0</v>
      </c>
      <c r="Z11" s="322">
        <f ca="1">'Projected price out'!M34+'Projected price out'!M47</f>
        <v>5848.4212645753651</v>
      </c>
      <c r="AA11" s="322">
        <f t="shared" ca="1" si="2"/>
        <v>95199.031458369544</v>
      </c>
      <c r="AB11" s="322"/>
      <c r="AG11" s="322"/>
      <c r="AL11" s="322">
        <f t="shared" ref="AL11:AL16" si="8">SUM(AC11:AK11)</f>
        <v>0</v>
      </c>
      <c r="AU11" s="322">
        <f t="shared" ref="AU11:AU16" si="9">SUM(AN11:AT11)</f>
        <v>0</v>
      </c>
    </row>
    <row r="12" spans="1:47" ht="15">
      <c r="A12" s="320" t="s">
        <v>261</v>
      </c>
      <c r="B12" s="321">
        <v>2367.5</v>
      </c>
      <c r="C12" s="321">
        <v>3068.24</v>
      </c>
      <c r="D12" s="321">
        <v>5806.24</v>
      </c>
      <c r="E12" s="321">
        <v>1471.24</v>
      </c>
      <c r="F12" s="321">
        <v>6129.12</v>
      </c>
      <c r="G12" s="321">
        <v>3647.8</v>
      </c>
      <c r="H12" s="321">
        <v>6230.7</v>
      </c>
      <c r="I12" s="321">
        <v>4102.92</v>
      </c>
      <c r="J12" s="321">
        <v>4932.34</v>
      </c>
      <c r="K12" s="321">
        <v>3407.46</v>
      </c>
      <c r="L12" s="321">
        <v>13440.76</v>
      </c>
      <c r="M12" s="321">
        <v>769.38</v>
      </c>
      <c r="N12" s="321">
        <f t="shared" si="3"/>
        <v>55373.700000000004</v>
      </c>
      <c r="P12" s="322">
        <f t="shared" si="4"/>
        <v>55373.700000000004</v>
      </c>
      <c r="Q12" s="322">
        <v>-7636</v>
      </c>
      <c r="R12" s="322">
        <f t="shared" si="0"/>
        <v>47737.700000000004</v>
      </c>
      <c r="S12" s="322">
        <f t="shared" si="5"/>
        <v>0</v>
      </c>
      <c r="T12" s="322">
        <f t="shared" si="6"/>
        <v>47737.700000000004</v>
      </c>
      <c r="U12" s="322"/>
      <c r="V12" s="322">
        <f t="shared" si="7"/>
        <v>47737.700000000004</v>
      </c>
      <c r="X12" s="322">
        <f t="shared" si="1"/>
        <v>47737.700000000004</v>
      </c>
      <c r="Y12" s="322">
        <f>'Garbage Adj.'!L10</f>
        <v>0</v>
      </c>
      <c r="Z12" s="322"/>
      <c r="AA12" s="322">
        <f t="shared" si="2"/>
        <v>47737.700000000004</v>
      </c>
      <c r="AB12" s="322"/>
      <c r="AG12" s="322"/>
      <c r="AL12" s="322">
        <f t="shared" si="8"/>
        <v>0</v>
      </c>
      <c r="AU12" s="322">
        <f t="shared" si="9"/>
        <v>0</v>
      </c>
    </row>
    <row r="13" spans="1:47" ht="15">
      <c r="A13" s="320" t="s">
        <v>262</v>
      </c>
      <c r="B13" s="321">
        <v>5113.1000000000004</v>
      </c>
      <c r="C13" s="321">
        <v>8243.7800000000007</v>
      </c>
      <c r="D13" s="321">
        <v>12490.93</v>
      </c>
      <c r="E13" s="321">
        <v>19154.48</v>
      </c>
      <c r="F13" s="321">
        <v>17420.37</v>
      </c>
      <c r="G13" s="321">
        <v>16993.419999999998</v>
      </c>
      <c r="H13" s="321">
        <v>21129.41</v>
      </c>
      <c r="I13" s="321">
        <v>28204</v>
      </c>
      <c r="J13" s="321">
        <v>19194.349999999999</v>
      </c>
      <c r="K13" s="321">
        <v>15713.67</v>
      </c>
      <c r="L13" s="321">
        <v>4024</v>
      </c>
      <c r="M13" s="321">
        <v>11193</v>
      </c>
      <c r="N13" s="321">
        <f t="shared" si="3"/>
        <v>178874.51</v>
      </c>
      <c r="P13" s="322">
        <f t="shared" si="4"/>
        <v>178874.51</v>
      </c>
      <c r="Q13" s="322">
        <v>-178875</v>
      </c>
      <c r="R13" s="322">
        <f t="shared" si="0"/>
        <v>-0.48999999999068677</v>
      </c>
      <c r="S13" s="322"/>
      <c r="T13" s="322">
        <f t="shared" si="6"/>
        <v>-0.48999999999068677</v>
      </c>
      <c r="U13" s="322">
        <f>+AP13</f>
        <v>0</v>
      </c>
      <c r="V13" s="322">
        <f t="shared" si="7"/>
        <v>-0.48999999999068677</v>
      </c>
      <c r="X13" s="322">
        <f t="shared" si="1"/>
        <v>-0.48999999999068677</v>
      </c>
      <c r="Y13" s="322">
        <f>'Garbage Adj.'!L11</f>
        <v>0</v>
      </c>
      <c r="Z13" s="322">
        <f>+AT13</f>
        <v>0</v>
      </c>
      <c r="AA13" s="322">
        <f t="shared" si="2"/>
        <v>-0.48999999999068677</v>
      </c>
      <c r="AB13" s="322"/>
      <c r="AG13" s="322"/>
      <c r="AL13" s="322">
        <f t="shared" si="8"/>
        <v>0</v>
      </c>
      <c r="AP13" s="322"/>
      <c r="AU13" s="322">
        <f t="shared" si="9"/>
        <v>0</v>
      </c>
    </row>
    <row r="14" spans="1:47" ht="15">
      <c r="A14" s="320" t="s">
        <v>263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0</v>
      </c>
      <c r="J14" s="321">
        <v>0</v>
      </c>
      <c r="K14" s="321">
        <v>0</v>
      </c>
      <c r="L14" s="321">
        <v>0</v>
      </c>
      <c r="M14" s="321">
        <v>0</v>
      </c>
      <c r="N14" s="321">
        <f t="shared" si="3"/>
        <v>0</v>
      </c>
      <c r="P14" s="322">
        <f t="shared" si="4"/>
        <v>0</v>
      </c>
      <c r="Q14" s="322">
        <f t="shared" ref="Q14:Q16" si="10">+AL14</f>
        <v>0</v>
      </c>
      <c r="R14" s="322">
        <f t="shared" si="0"/>
        <v>0</v>
      </c>
      <c r="S14" s="322">
        <f t="shared" si="5"/>
        <v>0</v>
      </c>
      <c r="T14" s="322">
        <f t="shared" si="6"/>
        <v>0</v>
      </c>
      <c r="U14" s="322"/>
      <c r="V14" s="322">
        <f t="shared" si="7"/>
        <v>0</v>
      </c>
      <c r="X14" s="322">
        <f t="shared" si="1"/>
        <v>0</v>
      </c>
      <c r="Y14" s="322"/>
      <c r="Z14" s="322"/>
      <c r="AA14" s="322">
        <f t="shared" si="2"/>
        <v>0</v>
      </c>
      <c r="AB14" s="322"/>
      <c r="AL14" s="322">
        <f t="shared" si="8"/>
        <v>0</v>
      </c>
      <c r="AU14" s="322">
        <f t="shared" si="9"/>
        <v>0</v>
      </c>
    </row>
    <row r="15" spans="1:47" ht="15">
      <c r="A15" s="320" t="s">
        <v>264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f t="shared" si="3"/>
        <v>0</v>
      </c>
      <c r="P15" s="322">
        <f t="shared" si="4"/>
        <v>0</v>
      </c>
      <c r="Q15" s="322">
        <f t="shared" si="10"/>
        <v>0</v>
      </c>
      <c r="R15" s="322">
        <f t="shared" si="0"/>
        <v>0</v>
      </c>
      <c r="S15" s="322">
        <f t="shared" si="5"/>
        <v>0</v>
      </c>
      <c r="T15" s="322">
        <f t="shared" si="6"/>
        <v>0</v>
      </c>
      <c r="U15" s="322"/>
      <c r="V15" s="322">
        <f t="shared" si="7"/>
        <v>0</v>
      </c>
      <c r="X15" s="322">
        <f t="shared" si="1"/>
        <v>0</v>
      </c>
      <c r="Y15" s="322"/>
      <c r="Z15" s="322"/>
      <c r="AA15" s="322">
        <f t="shared" si="2"/>
        <v>0</v>
      </c>
      <c r="AB15" s="322"/>
      <c r="AL15" s="322">
        <f t="shared" si="8"/>
        <v>0</v>
      </c>
      <c r="AU15" s="322">
        <f t="shared" si="9"/>
        <v>0</v>
      </c>
    </row>
    <row r="16" spans="1:47" ht="15">
      <c r="A16" s="320" t="s">
        <v>265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0</v>
      </c>
      <c r="J16" s="321">
        <v>0</v>
      </c>
      <c r="K16" s="321">
        <v>0</v>
      </c>
      <c r="L16" s="321">
        <v>0</v>
      </c>
      <c r="M16" s="321">
        <v>0</v>
      </c>
      <c r="N16" s="321">
        <f t="shared" si="3"/>
        <v>0</v>
      </c>
      <c r="P16" s="322">
        <f t="shared" si="4"/>
        <v>0</v>
      </c>
      <c r="Q16" s="322">
        <f t="shared" si="10"/>
        <v>0</v>
      </c>
      <c r="R16" s="322">
        <f t="shared" si="0"/>
        <v>0</v>
      </c>
      <c r="S16" s="322">
        <f t="shared" si="5"/>
        <v>0</v>
      </c>
      <c r="T16" s="322">
        <f t="shared" si="6"/>
        <v>0</v>
      </c>
      <c r="U16" s="322"/>
      <c r="V16" s="322">
        <f t="shared" si="7"/>
        <v>0</v>
      </c>
      <c r="X16" s="322">
        <f t="shared" si="1"/>
        <v>0</v>
      </c>
      <c r="Y16" s="322"/>
      <c r="Z16" s="322"/>
      <c r="AA16" s="322">
        <f t="shared" si="2"/>
        <v>0</v>
      </c>
      <c r="AB16" s="322"/>
      <c r="AD16" s="323">
        <f>-P16</f>
        <v>0</v>
      </c>
      <c r="AL16" s="322">
        <f t="shared" si="8"/>
        <v>0</v>
      </c>
      <c r="AU16" s="322">
        <f t="shared" si="9"/>
        <v>0</v>
      </c>
    </row>
    <row r="17" spans="1:49">
      <c r="A17" s="305"/>
      <c r="B17" s="324" t="s">
        <v>266</v>
      </c>
      <c r="C17" s="324" t="s">
        <v>266</v>
      </c>
      <c r="D17" s="324" t="s">
        <v>266</v>
      </c>
      <c r="E17" s="324" t="s">
        <v>266</v>
      </c>
      <c r="F17" s="324" t="s">
        <v>266</v>
      </c>
      <c r="G17" s="324" t="s">
        <v>266</v>
      </c>
      <c r="H17" s="324" t="s">
        <v>266</v>
      </c>
      <c r="I17" s="324" t="s">
        <v>266</v>
      </c>
      <c r="J17" s="324" t="s">
        <v>266</v>
      </c>
      <c r="K17" s="324" t="s">
        <v>266</v>
      </c>
      <c r="L17" s="324" t="s">
        <v>266</v>
      </c>
      <c r="M17" s="324" t="s">
        <v>266</v>
      </c>
      <c r="N17" s="324" t="s">
        <v>266</v>
      </c>
      <c r="P17" s="324" t="s">
        <v>266</v>
      </c>
      <c r="Q17" s="324" t="s">
        <v>266</v>
      </c>
      <c r="R17" s="324" t="s">
        <v>266</v>
      </c>
      <c r="S17" s="324" t="s">
        <v>266</v>
      </c>
      <c r="T17" s="324" t="s">
        <v>266</v>
      </c>
      <c r="U17" s="324" t="s">
        <v>266</v>
      </c>
      <c r="V17" s="324" t="s">
        <v>266</v>
      </c>
      <c r="X17" s="324" t="s">
        <v>266</v>
      </c>
      <c r="Y17" s="324"/>
      <c r="Z17" s="324" t="s">
        <v>266</v>
      </c>
      <c r="AA17" s="324" t="s">
        <v>266</v>
      </c>
      <c r="AB17" s="324"/>
      <c r="AC17" s="324" t="s">
        <v>266</v>
      </c>
      <c r="AD17" s="324" t="s">
        <v>266</v>
      </c>
      <c r="AE17" s="324" t="s">
        <v>266</v>
      </c>
      <c r="AF17" s="324"/>
      <c r="AG17" s="324" t="s">
        <v>266</v>
      </c>
      <c r="AH17" s="324" t="s">
        <v>266</v>
      </c>
      <c r="AI17" s="324" t="s">
        <v>266</v>
      </c>
      <c r="AJ17" s="324" t="s">
        <v>266</v>
      </c>
      <c r="AK17" s="324" t="s">
        <v>266</v>
      </c>
      <c r="AL17" s="324" t="s">
        <v>266</v>
      </c>
      <c r="AN17" s="324" t="s">
        <v>266</v>
      </c>
      <c r="AO17" s="324" t="s">
        <v>266</v>
      </c>
      <c r="AP17" s="324" t="s">
        <v>266</v>
      </c>
      <c r="AQ17" s="324" t="s">
        <v>266</v>
      </c>
      <c r="AR17" s="324" t="s">
        <v>266</v>
      </c>
      <c r="AS17" s="324" t="s">
        <v>266</v>
      </c>
      <c r="AT17" s="324" t="s">
        <v>266</v>
      </c>
      <c r="AU17" s="324" t="s">
        <v>266</v>
      </c>
    </row>
    <row r="18" spans="1:49">
      <c r="A18" s="325" t="s">
        <v>12</v>
      </c>
      <c r="B18" s="326">
        <f>SUM(B9:B17)</f>
        <v>15272.320000000002</v>
      </c>
      <c r="C18" s="326">
        <f t="shared" ref="C18:N18" si="11">SUM(C9:C17)</f>
        <v>27539.589999999997</v>
      </c>
      <c r="D18" s="326">
        <f t="shared" si="11"/>
        <v>24693.05</v>
      </c>
      <c r="E18" s="326">
        <f t="shared" si="11"/>
        <v>34803.86</v>
      </c>
      <c r="F18" s="326">
        <f t="shared" si="11"/>
        <v>32819.32</v>
      </c>
      <c r="G18" s="326">
        <f t="shared" si="11"/>
        <v>41165.160000000003</v>
      </c>
      <c r="H18" s="326">
        <f t="shared" si="11"/>
        <v>44322.92</v>
      </c>
      <c r="I18" s="326">
        <f t="shared" si="11"/>
        <v>44796.639999999999</v>
      </c>
      <c r="J18" s="326">
        <f t="shared" si="11"/>
        <v>45169.82</v>
      </c>
      <c r="K18" s="326">
        <f t="shared" si="11"/>
        <v>39304.49</v>
      </c>
      <c r="L18" s="326">
        <f t="shared" si="11"/>
        <v>25841.82</v>
      </c>
      <c r="M18" s="326">
        <f t="shared" si="11"/>
        <v>29881.89</v>
      </c>
      <c r="N18" s="326">
        <f t="shared" si="11"/>
        <v>405610.88</v>
      </c>
      <c r="O18" s="327"/>
      <c r="P18" s="326">
        <f>SUM(P9:P17)</f>
        <v>405610.88</v>
      </c>
      <c r="Q18" s="326">
        <f t="shared" ref="Q18:V18" si="12">SUM(Q9:Q17)</f>
        <v>-184732.48</v>
      </c>
      <c r="R18" s="326">
        <f t="shared" si="12"/>
        <v>220878.40000000002</v>
      </c>
      <c r="S18" s="326">
        <f t="shared" si="12"/>
        <v>0</v>
      </c>
      <c r="T18" s="326">
        <f t="shared" si="12"/>
        <v>220878.40000000002</v>
      </c>
      <c r="U18" s="326">
        <f ca="1">SUM(U9:U17)</f>
        <v>33499.86461804821</v>
      </c>
      <c r="V18" s="326">
        <f t="shared" ca="1" si="12"/>
        <v>254378.26461804821</v>
      </c>
      <c r="X18" s="326">
        <f t="shared" ref="X18:Y18" ca="1" si="13">SUM(X9:X17)</f>
        <v>254378.26461804821</v>
      </c>
      <c r="Y18" s="326">
        <f t="shared" ca="1" si="13"/>
        <v>548037.28881204978</v>
      </c>
      <c r="Z18" s="326">
        <f ca="1">SUM(Z9:Z17)</f>
        <v>-146461.41054151367</v>
      </c>
      <c r="AA18" s="326">
        <f t="shared" ref="AA18" ca="1" si="14">SUM(AA9:AA17)</f>
        <v>655954.14288858429</v>
      </c>
      <c r="AB18" s="326"/>
      <c r="AC18" s="326">
        <f t="shared" ref="AC18:AE18" si="15">SUM(AC9:AC17)</f>
        <v>0</v>
      </c>
      <c r="AD18" s="326">
        <f t="shared" si="15"/>
        <v>0</v>
      </c>
      <c r="AE18" s="326">
        <f t="shared" si="15"/>
        <v>0</v>
      </c>
      <c r="AF18" s="326"/>
      <c r="AG18" s="326">
        <f t="shared" ref="AG18:AL18" si="16">SUM(AG9:AG17)</f>
        <v>0</v>
      </c>
      <c r="AH18" s="326">
        <f t="shared" si="16"/>
        <v>0</v>
      </c>
      <c r="AI18" s="326">
        <f t="shared" si="16"/>
        <v>0</v>
      </c>
      <c r="AJ18" s="326">
        <f t="shared" si="16"/>
        <v>0</v>
      </c>
      <c r="AK18" s="326">
        <f t="shared" si="16"/>
        <v>0</v>
      </c>
      <c r="AL18" s="326">
        <f t="shared" si="16"/>
        <v>0</v>
      </c>
      <c r="AN18" s="326">
        <f t="shared" ref="AN18:AU18" si="17">SUM(AN9:AN17)</f>
        <v>0</v>
      </c>
      <c r="AO18" s="326">
        <f t="shared" si="17"/>
        <v>0</v>
      </c>
      <c r="AP18" s="326">
        <f t="shared" si="17"/>
        <v>0</v>
      </c>
      <c r="AQ18" s="326">
        <f t="shared" si="17"/>
        <v>0</v>
      </c>
      <c r="AR18" s="326">
        <f t="shared" si="17"/>
        <v>0</v>
      </c>
      <c r="AS18" s="326">
        <f t="shared" si="17"/>
        <v>0</v>
      </c>
      <c r="AT18" s="326">
        <f t="shared" si="17"/>
        <v>0</v>
      </c>
      <c r="AU18" s="326">
        <f t="shared" si="17"/>
        <v>0</v>
      </c>
    </row>
    <row r="19" spans="1:49">
      <c r="A19" s="305"/>
      <c r="B19" s="324" t="s">
        <v>267</v>
      </c>
      <c r="C19" s="324" t="s">
        <v>267</v>
      </c>
      <c r="D19" s="324" t="s">
        <v>267</v>
      </c>
      <c r="E19" s="324" t="s">
        <v>267</v>
      </c>
      <c r="F19" s="324" t="s">
        <v>267</v>
      </c>
      <c r="G19" s="324" t="s">
        <v>267</v>
      </c>
      <c r="H19" s="324" t="s">
        <v>267</v>
      </c>
      <c r="I19" s="324" t="s">
        <v>267</v>
      </c>
      <c r="J19" s="324" t="s">
        <v>267</v>
      </c>
      <c r="K19" s="324" t="s">
        <v>267</v>
      </c>
      <c r="L19" s="324" t="s">
        <v>267</v>
      </c>
      <c r="M19" s="324" t="s">
        <v>267</v>
      </c>
      <c r="N19" s="324" t="s">
        <v>267</v>
      </c>
      <c r="P19" s="324" t="s">
        <v>267</v>
      </c>
      <c r="Q19" s="324" t="s">
        <v>267</v>
      </c>
      <c r="R19" s="324" t="s">
        <v>267</v>
      </c>
      <c r="S19" s="324" t="s">
        <v>267</v>
      </c>
      <c r="T19" s="324" t="s">
        <v>267</v>
      </c>
      <c r="U19" s="324" t="s">
        <v>267</v>
      </c>
      <c r="V19" s="324" t="s">
        <v>267</v>
      </c>
      <c r="X19" s="324" t="s">
        <v>267</v>
      </c>
      <c r="Y19" s="324"/>
      <c r="Z19" s="324" t="s">
        <v>267</v>
      </c>
      <c r="AA19" s="324" t="s">
        <v>267</v>
      </c>
      <c r="AB19" s="324"/>
      <c r="AC19" s="324" t="s">
        <v>267</v>
      </c>
      <c r="AD19" s="324" t="s">
        <v>267</v>
      </c>
      <c r="AE19" s="324" t="s">
        <v>267</v>
      </c>
      <c r="AF19" s="324"/>
      <c r="AG19" s="324" t="s">
        <v>267</v>
      </c>
      <c r="AH19" s="324" t="s">
        <v>267</v>
      </c>
      <c r="AI19" s="324" t="s">
        <v>267</v>
      </c>
      <c r="AJ19" s="324" t="s">
        <v>267</v>
      </c>
      <c r="AK19" s="324" t="s">
        <v>267</v>
      </c>
      <c r="AL19" s="324" t="s">
        <v>267</v>
      </c>
      <c r="AN19" s="324" t="s">
        <v>267</v>
      </c>
      <c r="AO19" s="324" t="s">
        <v>267</v>
      </c>
      <c r="AP19" s="324" t="s">
        <v>267</v>
      </c>
      <c r="AQ19" s="324" t="s">
        <v>267</v>
      </c>
      <c r="AR19" s="324" t="s">
        <v>267</v>
      </c>
      <c r="AS19" s="324" t="s">
        <v>267</v>
      </c>
      <c r="AT19" s="324" t="s">
        <v>267</v>
      </c>
      <c r="AU19" s="324" t="s">
        <v>267</v>
      </c>
    </row>
    <row r="20" spans="1:49" ht="15">
      <c r="A20" s="305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U20" s="322"/>
      <c r="Z20" s="322"/>
    </row>
    <row r="21" spans="1:49" ht="15">
      <c r="A21" s="320" t="s">
        <v>268</v>
      </c>
      <c r="B21" s="321">
        <v>6057.2</v>
      </c>
      <c r="C21" s="321">
        <v>9336.1</v>
      </c>
      <c r="D21" s="321">
        <v>7837.84</v>
      </c>
      <c r="E21" s="321">
        <v>9340.99</v>
      </c>
      <c r="F21" s="321">
        <v>7527.45</v>
      </c>
      <c r="G21" s="321">
        <v>14002.7</v>
      </c>
      <c r="H21" s="321">
        <v>11772.8</v>
      </c>
      <c r="I21" s="321">
        <v>14153.3</v>
      </c>
      <c r="J21" s="321">
        <v>16569.8</v>
      </c>
      <c r="K21" s="321">
        <v>12865.1</v>
      </c>
      <c r="L21" s="321">
        <v>9676.91</v>
      </c>
      <c r="M21" s="321">
        <v>8115.74</v>
      </c>
      <c r="N21" s="321">
        <f t="shared" ref="N21:N52" si="18">SUM(B21:M21)</f>
        <v>127255.93000000002</v>
      </c>
      <c r="O21" s="328"/>
      <c r="P21" s="322">
        <f t="shared" ref="P21:P49" si="19">+N21</f>
        <v>127255.93000000002</v>
      </c>
      <c r="Q21" s="322">
        <f>-P21*'Drive Hours Recap'!$L$34</f>
        <v>-66488.315599701571</v>
      </c>
      <c r="R21" s="322">
        <f t="shared" ref="R21:R49" si="20">+P21+Q21</f>
        <v>60767.614400298451</v>
      </c>
      <c r="S21" s="322">
        <f>Tonnage!J8-'Income Statement'!R21</f>
        <v>46385.519582459776</v>
      </c>
      <c r="T21" s="322">
        <f t="shared" ref="T21:T49" si="21">+R21+S21</f>
        <v>107153.13398275823</v>
      </c>
      <c r="U21" s="322"/>
      <c r="V21" s="322">
        <f t="shared" ref="V21:V49" si="22">+T21+U21</f>
        <v>107153.13398275823</v>
      </c>
      <c r="W21" s="328"/>
      <c r="X21" s="322">
        <f t="shared" ref="X21:X51" si="23">V21</f>
        <v>107153.13398275823</v>
      </c>
      <c r="Y21" s="322">
        <f>'Garbage Adj.'!L19+'Garbage Adj.'!I19-'Garbage Adj.'!H19</f>
        <v>142857.14560545504</v>
      </c>
      <c r="Z21" s="322"/>
      <c r="AA21" s="322">
        <f t="shared" ref="AA21:AA50" si="24">SUM(X21:Z21)</f>
        <v>250010.27958821325</v>
      </c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>
        <f t="shared" ref="AL21:AL49" si="25">SUM(AC21:AK21)</f>
        <v>0</v>
      </c>
      <c r="AM21" s="328"/>
      <c r="AN21" s="322"/>
      <c r="AO21" s="322"/>
      <c r="AP21" s="322"/>
      <c r="AQ21" s="322"/>
      <c r="AR21" s="322"/>
      <c r="AS21" s="322"/>
      <c r="AT21" s="322"/>
      <c r="AU21" s="322">
        <f t="shared" ref="AU21:AU49" si="26">SUM(AN21:AT21)</f>
        <v>0</v>
      </c>
      <c r="AV21" s="322"/>
      <c r="AW21" s="322"/>
    </row>
    <row r="22" spans="1:49" ht="15">
      <c r="A22" s="320" t="s">
        <v>269</v>
      </c>
      <c r="B22" s="321"/>
      <c r="C22" s="321">
        <v>0</v>
      </c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f t="shared" si="18"/>
        <v>0</v>
      </c>
      <c r="O22" s="328"/>
      <c r="P22" s="322">
        <f t="shared" si="19"/>
        <v>0</v>
      </c>
      <c r="Q22" s="322">
        <f>-P22*'Drive Hours Recap'!$L$34</f>
        <v>0</v>
      </c>
      <c r="R22" s="322">
        <f t="shared" si="20"/>
        <v>0</v>
      </c>
      <c r="S22" s="322">
        <f t="shared" ref="S22:S35" si="27">+AU22</f>
        <v>0</v>
      </c>
      <c r="T22" s="322">
        <f t="shared" si="21"/>
        <v>0</v>
      </c>
      <c r="U22" s="322"/>
      <c r="V22" s="322">
        <f t="shared" si="22"/>
        <v>0</v>
      </c>
      <c r="W22" s="328"/>
      <c r="X22" s="322">
        <f t="shared" si="23"/>
        <v>0</v>
      </c>
      <c r="Y22" s="322"/>
      <c r="Z22" s="322"/>
      <c r="AA22" s="322">
        <f t="shared" si="24"/>
        <v>0</v>
      </c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>
        <f t="shared" si="25"/>
        <v>0</v>
      </c>
      <c r="AM22" s="328"/>
      <c r="AN22" s="322"/>
      <c r="AO22" s="322"/>
      <c r="AP22" s="322"/>
      <c r="AQ22" s="322"/>
      <c r="AR22" s="322"/>
      <c r="AS22" s="322"/>
      <c r="AT22" s="322"/>
      <c r="AU22" s="322">
        <f t="shared" si="26"/>
        <v>0</v>
      </c>
      <c r="AV22" s="322"/>
      <c r="AW22" s="322"/>
    </row>
    <row r="23" spans="1:49" ht="15">
      <c r="A23" s="320" t="s">
        <v>270</v>
      </c>
      <c r="B23" s="321">
        <v>2328.81</v>
      </c>
      <c r="C23" s="321">
        <v>2855.78</v>
      </c>
      <c r="D23" s="321">
        <v>167.69</v>
      </c>
      <c r="E23" s="321">
        <v>4950.58</v>
      </c>
      <c r="F23" s="321"/>
      <c r="G23" s="321">
        <v>1623.19</v>
      </c>
      <c r="H23" s="321">
        <v>2369.5700000000002</v>
      </c>
      <c r="I23" s="321">
        <v>805.51</v>
      </c>
      <c r="J23" s="321">
        <v>159.82</v>
      </c>
      <c r="K23" s="321">
        <v>1996.95</v>
      </c>
      <c r="L23" s="321">
        <v>859</v>
      </c>
      <c r="M23" s="321">
        <v>2143.34</v>
      </c>
      <c r="N23" s="321">
        <f t="shared" si="18"/>
        <v>20260.240000000002</v>
      </c>
      <c r="O23" s="328"/>
      <c r="P23" s="322">
        <f t="shared" si="19"/>
        <v>20260.240000000002</v>
      </c>
      <c r="Q23" s="322">
        <f>-P23*'Drive Hours Recap'!$L$34</f>
        <v>-10585.512449169933</v>
      </c>
      <c r="R23" s="322">
        <f t="shared" si="20"/>
        <v>9674.7275508300681</v>
      </c>
      <c r="S23" s="322">
        <f t="shared" si="27"/>
        <v>0</v>
      </c>
      <c r="T23" s="322">
        <f t="shared" si="21"/>
        <v>9674.7275508300681</v>
      </c>
      <c r="U23" s="322"/>
      <c r="V23" s="322">
        <f t="shared" si="22"/>
        <v>9674.7275508300681</v>
      </c>
      <c r="W23" s="328"/>
      <c r="X23" s="322">
        <f t="shared" si="23"/>
        <v>9674.7275508300681</v>
      </c>
      <c r="Y23" s="322"/>
      <c r="Z23" s="322"/>
      <c r="AA23" s="322">
        <f t="shared" si="24"/>
        <v>9674.7275508300681</v>
      </c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>
        <f t="shared" si="25"/>
        <v>0</v>
      </c>
      <c r="AM23" s="328"/>
      <c r="AN23" s="322"/>
      <c r="AO23" s="322"/>
      <c r="AP23" s="322"/>
      <c r="AQ23" s="322"/>
      <c r="AR23" s="322"/>
      <c r="AS23" s="322"/>
      <c r="AT23" s="322"/>
      <c r="AU23" s="322">
        <f t="shared" si="26"/>
        <v>0</v>
      </c>
      <c r="AV23" s="322"/>
      <c r="AW23" s="322"/>
    </row>
    <row r="24" spans="1:49" ht="15">
      <c r="A24" s="320" t="s">
        <v>271</v>
      </c>
      <c r="B24" s="321">
        <v>0</v>
      </c>
      <c r="C24" s="321">
        <v>0</v>
      </c>
      <c r="D24" s="321">
        <v>47.46</v>
      </c>
      <c r="E24" s="321">
        <v>1028.1300000000001</v>
      </c>
      <c r="F24" s="321">
        <v>0</v>
      </c>
      <c r="G24" s="321">
        <v>0</v>
      </c>
      <c r="H24" s="321">
        <v>0</v>
      </c>
      <c r="I24" s="321">
        <v>681.69</v>
      </c>
      <c r="J24" s="321">
        <v>41.47</v>
      </c>
      <c r="K24" s="321">
        <v>59.07</v>
      </c>
      <c r="L24" s="321">
        <v>382.79</v>
      </c>
      <c r="M24" s="321">
        <v>0</v>
      </c>
      <c r="N24" s="321">
        <f t="shared" si="18"/>
        <v>2240.61</v>
      </c>
      <c r="O24" s="328"/>
      <c r="P24" s="322">
        <f t="shared" si="19"/>
        <v>2240.61</v>
      </c>
      <c r="Q24" s="322">
        <f>-P24*'Drive Hours Recap'!$L$34</f>
        <v>-1170.6675265808622</v>
      </c>
      <c r="R24" s="322">
        <f t="shared" si="20"/>
        <v>1069.942473419138</v>
      </c>
      <c r="S24" s="322">
        <f t="shared" si="27"/>
        <v>0</v>
      </c>
      <c r="T24" s="322">
        <f t="shared" si="21"/>
        <v>1069.942473419138</v>
      </c>
      <c r="U24" s="322"/>
      <c r="V24" s="322">
        <f t="shared" si="22"/>
        <v>1069.942473419138</v>
      </c>
      <c r="W24" s="328"/>
      <c r="X24" s="322">
        <f t="shared" si="23"/>
        <v>1069.942473419138</v>
      </c>
      <c r="Y24" s="322"/>
      <c r="Z24" s="322"/>
      <c r="AA24" s="322">
        <f t="shared" si="24"/>
        <v>1069.942473419138</v>
      </c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>
        <f t="shared" si="25"/>
        <v>0</v>
      </c>
      <c r="AM24" s="328"/>
      <c r="AN24" s="322"/>
      <c r="AO24" s="322"/>
      <c r="AP24" s="322"/>
      <c r="AQ24" s="322"/>
      <c r="AR24" s="322"/>
      <c r="AS24" s="322"/>
      <c r="AT24" s="322"/>
      <c r="AU24" s="322">
        <f t="shared" si="26"/>
        <v>0</v>
      </c>
      <c r="AV24" s="322"/>
      <c r="AW24" s="322"/>
    </row>
    <row r="25" spans="1:49" ht="15">
      <c r="A25" s="320" t="s">
        <v>272</v>
      </c>
      <c r="B25" s="321">
        <v>0</v>
      </c>
      <c r="C25" s="321">
        <v>0</v>
      </c>
      <c r="D25" s="321">
        <v>0</v>
      </c>
      <c r="E25" s="321">
        <v>0</v>
      </c>
      <c r="F25" s="321">
        <v>0</v>
      </c>
      <c r="G25" s="321">
        <v>0</v>
      </c>
      <c r="H25" s="321">
        <v>0</v>
      </c>
      <c r="I25" s="321">
        <v>0</v>
      </c>
      <c r="J25" s="321">
        <v>0</v>
      </c>
      <c r="K25" s="321">
        <v>0</v>
      </c>
      <c r="L25" s="321">
        <v>0</v>
      </c>
      <c r="M25" s="321">
        <v>0</v>
      </c>
      <c r="N25" s="321">
        <f t="shared" si="18"/>
        <v>0</v>
      </c>
      <c r="O25" s="328"/>
      <c r="P25" s="322">
        <f t="shared" si="19"/>
        <v>0</v>
      </c>
      <c r="Q25" s="322">
        <f>-P25*'Drive Hours Recap'!$L$34</f>
        <v>0</v>
      </c>
      <c r="R25" s="322">
        <f t="shared" si="20"/>
        <v>0</v>
      </c>
      <c r="S25" s="322">
        <f t="shared" si="27"/>
        <v>0</v>
      </c>
      <c r="T25" s="322">
        <f t="shared" si="21"/>
        <v>0</v>
      </c>
      <c r="U25" s="322"/>
      <c r="V25" s="322">
        <f t="shared" si="22"/>
        <v>0</v>
      </c>
      <c r="W25" s="328"/>
      <c r="X25" s="322">
        <f t="shared" si="23"/>
        <v>0</v>
      </c>
      <c r="Y25" s="322"/>
      <c r="Z25" s="322"/>
      <c r="AA25" s="322">
        <f t="shared" si="24"/>
        <v>0</v>
      </c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>
        <f t="shared" si="25"/>
        <v>0</v>
      </c>
      <c r="AM25" s="328"/>
      <c r="AN25" s="322"/>
      <c r="AO25" s="322"/>
      <c r="AP25" s="322"/>
      <c r="AQ25" s="322"/>
      <c r="AR25" s="322"/>
      <c r="AS25" s="322"/>
      <c r="AT25" s="322"/>
      <c r="AU25" s="322">
        <f t="shared" si="26"/>
        <v>0</v>
      </c>
      <c r="AV25" s="322"/>
      <c r="AW25" s="322"/>
    </row>
    <row r="26" spans="1:49" ht="15">
      <c r="A26" s="320" t="s">
        <v>273</v>
      </c>
      <c r="B26" s="321">
        <v>9760.76</v>
      </c>
      <c r="C26" s="321">
        <v>9760.89</v>
      </c>
      <c r="D26" s="321">
        <v>9666.26</v>
      </c>
      <c r="E26" s="321">
        <v>10640.51</v>
      </c>
      <c r="F26" s="321">
        <v>10433.129999999999</v>
      </c>
      <c r="G26" s="321">
        <v>10627.63</v>
      </c>
      <c r="H26" s="321">
        <v>10966.63</v>
      </c>
      <c r="I26" s="321">
        <v>14958.63</v>
      </c>
      <c r="J26" s="321">
        <v>11632.89</v>
      </c>
      <c r="K26" s="321">
        <v>11395.26</v>
      </c>
      <c r="L26" s="321">
        <v>10031.879999999999</v>
      </c>
      <c r="M26" s="321">
        <v>9930</v>
      </c>
      <c r="N26" s="321">
        <f t="shared" si="18"/>
        <v>129804.47</v>
      </c>
      <c r="O26" s="328"/>
      <c r="P26" s="322">
        <f t="shared" si="19"/>
        <v>129804.47</v>
      </c>
      <c r="Q26" s="498">
        <f>'Drive Hours Recap'!H21-'Income Statement'!P26</f>
        <v>-101040.72</v>
      </c>
      <c r="R26" s="322">
        <f t="shared" si="20"/>
        <v>28763.75</v>
      </c>
      <c r="S26" s="322">
        <f t="shared" si="27"/>
        <v>0</v>
      </c>
      <c r="T26" s="322">
        <f t="shared" si="21"/>
        <v>28763.75</v>
      </c>
      <c r="U26" s="322"/>
      <c r="V26" s="322">
        <f t="shared" si="22"/>
        <v>28763.75</v>
      </c>
      <c r="W26" s="328"/>
      <c r="X26" s="322">
        <f t="shared" si="23"/>
        <v>28763.75</v>
      </c>
      <c r="Y26" s="322"/>
      <c r="Z26" s="322"/>
      <c r="AA26" s="322">
        <f t="shared" si="24"/>
        <v>28763.75</v>
      </c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>
        <f t="shared" si="25"/>
        <v>0</v>
      </c>
      <c r="AM26" s="328"/>
      <c r="AN26" s="322"/>
      <c r="AO26" s="322"/>
      <c r="AP26" s="322"/>
      <c r="AQ26" s="322"/>
      <c r="AR26" s="322"/>
      <c r="AS26" s="322"/>
      <c r="AT26" s="322"/>
      <c r="AU26" s="322">
        <f t="shared" si="26"/>
        <v>0</v>
      </c>
      <c r="AV26" s="322"/>
      <c r="AW26" s="322"/>
    </row>
    <row r="27" spans="1:49" ht="15">
      <c r="A27" s="320" t="s">
        <v>274</v>
      </c>
      <c r="B27" s="321">
        <v>0</v>
      </c>
      <c r="C27" s="321">
        <v>0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321">
        <f t="shared" si="18"/>
        <v>0</v>
      </c>
      <c r="O27" s="328"/>
      <c r="P27" s="322">
        <f t="shared" si="19"/>
        <v>0</v>
      </c>
      <c r="Q27" s="322">
        <f>-P27*'Drive Hours Recap'!$L$34</f>
        <v>0</v>
      </c>
      <c r="R27" s="322">
        <f t="shared" si="20"/>
        <v>0</v>
      </c>
      <c r="S27" s="322">
        <f t="shared" si="27"/>
        <v>0</v>
      </c>
      <c r="T27" s="322">
        <f t="shared" si="21"/>
        <v>0</v>
      </c>
      <c r="U27" s="322"/>
      <c r="V27" s="322">
        <f t="shared" si="22"/>
        <v>0</v>
      </c>
      <c r="W27" s="328"/>
      <c r="X27" s="322">
        <f t="shared" si="23"/>
        <v>0</v>
      </c>
      <c r="Y27" s="322"/>
      <c r="Z27" s="322"/>
      <c r="AA27" s="322">
        <f t="shared" si="24"/>
        <v>0</v>
      </c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>
        <f t="shared" si="25"/>
        <v>0</v>
      </c>
      <c r="AM27" s="328"/>
      <c r="AN27" s="322"/>
      <c r="AO27" s="322"/>
      <c r="AP27" s="322"/>
      <c r="AQ27" s="322"/>
      <c r="AR27" s="322"/>
      <c r="AS27" s="322"/>
      <c r="AT27" s="322"/>
      <c r="AU27" s="322">
        <f t="shared" si="26"/>
        <v>0</v>
      </c>
      <c r="AV27" s="322"/>
      <c r="AW27" s="322"/>
    </row>
    <row r="28" spans="1:49" ht="15">
      <c r="A28" s="320" t="s">
        <v>275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f t="shared" si="18"/>
        <v>0</v>
      </c>
      <c r="O28" s="328"/>
      <c r="P28" s="322">
        <f t="shared" si="19"/>
        <v>0</v>
      </c>
      <c r="Q28" s="322">
        <f>-P28*'Drive Hours Recap'!$L$34</f>
        <v>0</v>
      </c>
      <c r="R28" s="322">
        <f t="shared" si="20"/>
        <v>0</v>
      </c>
      <c r="S28" s="322">
        <f t="shared" si="27"/>
        <v>0</v>
      </c>
      <c r="T28" s="322">
        <f t="shared" si="21"/>
        <v>0</v>
      </c>
      <c r="U28" s="322"/>
      <c r="V28" s="322">
        <f t="shared" si="22"/>
        <v>0</v>
      </c>
      <c r="W28" s="328"/>
      <c r="X28" s="322">
        <f t="shared" si="23"/>
        <v>0</v>
      </c>
      <c r="Y28" s="322"/>
      <c r="Z28" s="322"/>
      <c r="AA28" s="322">
        <f t="shared" si="24"/>
        <v>0</v>
      </c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>
        <f t="shared" si="25"/>
        <v>0</v>
      </c>
      <c r="AM28" s="328"/>
      <c r="AN28" s="322"/>
      <c r="AO28" s="322"/>
      <c r="AP28" s="322"/>
      <c r="AQ28" s="322"/>
      <c r="AR28" s="322"/>
      <c r="AS28" s="322"/>
      <c r="AT28" s="322"/>
      <c r="AU28" s="322">
        <f t="shared" si="26"/>
        <v>0</v>
      </c>
      <c r="AV28" s="322"/>
      <c r="AW28" s="322"/>
    </row>
    <row r="29" spans="1:49" ht="15">
      <c r="A29" s="320" t="s">
        <v>276</v>
      </c>
      <c r="B29" s="321">
        <v>1309.8699999999999</v>
      </c>
      <c r="C29" s="321">
        <v>1081.6199999999999</v>
      </c>
      <c r="D29" s="321">
        <v>1101.43</v>
      </c>
      <c r="E29" s="321">
        <v>1406.58</v>
      </c>
      <c r="F29" s="321">
        <v>1633.76</v>
      </c>
      <c r="G29" s="321">
        <v>1821.22</v>
      </c>
      <c r="H29" s="321">
        <v>2595.87</v>
      </c>
      <c r="I29" s="321">
        <v>2501.25</v>
      </c>
      <c r="J29" s="321">
        <v>1561.49</v>
      </c>
      <c r="K29" s="321">
        <v>1908.07</v>
      </c>
      <c r="L29" s="321">
        <v>1782.89</v>
      </c>
      <c r="M29" s="321">
        <v>1339.81</v>
      </c>
      <c r="N29" s="321">
        <f t="shared" si="18"/>
        <v>20043.86</v>
      </c>
      <c r="O29" s="328"/>
      <c r="P29" s="322">
        <f t="shared" si="19"/>
        <v>20043.86</v>
      </c>
      <c r="Q29" s="322">
        <f>-P29*'Drive Hours Recap'!$L$34</f>
        <v>-10472.458843499349</v>
      </c>
      <c r="R29" s="322">
        <f t="shared" si="20"/>
        <v>9571.4011565006513</v>
      </c>
      <c r="S29" s="322">
        <f t="shared" si="27"/>
        <v>0</v>
      </c>
      <c r="T29" s="322">
        <f t="shared" si="21"/>
        <v>9571.4011565006513</v>
      </c>
      <c r="U29" s="322"/>
      <c r="V29" s="322">
        <f t="shared" si="22"/>
        <v>9571.4011565006513</v>
      </c>
      <c r="W29" s="328"/>
      <c r="X29" s="322">
        <f t="shared" si="23"/>
        <v>9571.4011565006513</v>
      </c>
      <c r="Y29" s="322"/>
      <c r="Z29" s="322"/>
      <c r="AA29" s="322">
        <f t="shared" si="24"/>
        <v>9571.4011565006513</v>
      </c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>
        <f t="shared" si="25"/>
        <v>0</v>
      </c>
      <c r="AM29" s="328"/>
      <c r="AN29" s="322"/>
      <c r="AO29" s="322"/>
      <c r="AP29" s="322"/>
      <c r="AQ29" s="322"/>
      <c r="AR29" s="322"/>
      <c r="AS29" s="322"/>
      <c r="AT29" s="322"/>
      <c r="AU29" s="322">
        <f t="shared" si="26"/>
        <v>0</v>
      </c>
      <c r="AV29" s="322"/>
      <c r="AW29" s="322"/>
    </row>
    <row r="30" spans="1:49" ht="15">
      <c r="A30" s="320" t="s">
        <v>277</v>
      </c>
      <c r="B30" s="321">
        <v>60</v>
      </c>
      <c r="C30" s="321">
        <v>0</v>
      </c>
      <c r="D30" s="321">
        <v>0</v>
      </c>
      <c r="E30" s="321">
        <v>0</v>
      </c>
      <c r="F30" s="321">
        <v>0</v>
      </c>
      <c r="G30" s="321">
        <v>60</v>
      </c>
      <c r="H30" s="321">
        <v>60</v>
      </c>
      <c r="I30" s="321">
        <v>150</v>
      </c>
      <c r="J30" s="321">
        <v>0</v>
      </c>
      <c r="K30" s="321">
        <v>0</v>
      </c>
      <c r="L30" s="321">
        <v>60</v>
      </c>
      <c r="M30" s="321">
        <v>0</v>
      </c>
      <c r="N30" s="321">
        <f t="shared" si="18"/>
        <v>390</v>
      </c>
      <c r="O30" s="328"/>
      <c r="P30" s="322">
        <f t="shared" si="19"/>
        <v>390</v>
      </c>
      <c r="Q30" s="322">
        <f>-P30*'Drive Hours Recap'!$L$34</f>
        <v>-203.76608841634027</v>
      </c>
      <c r="R30" s="322">
        <f t="shared" si="20"/>
        <v>186.23391158365973</v>
      </c>
      <c r="S30" s="322">
        <f t="shared" si="27"/>
        <v>0</v>
      </c>
      <c r="T30" s="322">
        <f t="shared" si="21"/>
        <v>186.23391158365973</v>
      </c>
      <c r="U30" s="322"/>
      <c r="V30" s="322">
        <f t="shared" si="22"/>
        <v>186.23391158365973</v>
      </c>
      <c r="W30" s="328"/>
      <c r="X30" s="322">
        <f t="shared" si="23"/>
        <v>186.23391158365973</v>
      </c>
      <c r="Y30" s="322"/>
      <c r="Z30" s="322"/>
      <c r="AA30" s="322">
        <f t="shared" si="24"/>
        <v>186.23391158365973</v>
      </c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>
        <f t="shared" si="25"/>
        <v>0</v>
      </c>
      <c r="AM30" s="328"/>
      <c r="AN30" s="322"/>
      <c r="AO30" s="322"/>
      <c r="AP30" s="322"/>
      <c r="AQ30" s="322"/>
      <c r="AR30" s="322"/>
      <c r="AS30" s="322"/>
      <c r="AT30" s="322"/>
      <c r="AU30" s="322">
        <f t="shared" si="26"/>
        <v>0</v>
      </c>
      <c r="AV30" s="322"/>
      <c r="AW30" s="322"/>
    </row>
    <row r="31" spans="1:49" ht="15">
      <c r="A31" s="320" t="s">
        <v>278</v>
      </c>
      <c r="B31" s="321">
        <v>672.19</v>
      </c>
      <c r="C31" s="321">
        <v>413.91</v>
      </c>
      <c r="D31" s="321">
        <v>442.74</v>
      </c>
      <c r="E31" s="321">
        <v>871.43</v>
      </c>
      <c r="F31" s="321">
        <v>466.03</v>
      </c>
      <c r="G31" s="321">
        <v>742.58</v>
      </c>
      <c r="H31" s="321">
        <v>621.99</v>
      </c>
      <c r="I31" s="321">
        <v>246.5</v>
      </c>
      <c r="J31" s="321">
        <v>922.42</v>
      </c>
      <c r="K31" s="321">
        <v>675.69</v>
      </c>
      <c r="L31" s="321">
        <v>568.32000000000005</v>
      </c>
      <c r="M31" s="321">
        <v>319.06</v>
      </c>
      <c r="N31" s="321">
        <f t="shared" si="18"/>
        <v>6962.86</v>
      </c>
      <c r="O31" s="328"/>
      <c r="P31" s="322">
        <f t="shared" si="19"/>
        <v>6962.86</v>
      </c>
      <c r="Q31" s="322">
        <f>-P31*'Drive Hours Recap'!$L$34</f>
        <v>-3637.9352471553821</v>
      </c>
      <c r="R31" s="322">
        <f t="shared" si="20"/>
        <v>3324.9247528446176</v>
      </c>
      <c r="S31" s="322">
        <f t="shared" si="27"/>
        <v>0</v>
      </c>
      <c r="T31" s="322">
        <f t="shared" si="21"/>
        <v>3324.9247528446176</v>
      </c>
      <c r="U31" s="322"/>
      <c r="V31" s="322">
        <f t="shared" si="22"/>
        <v>3324.9247528446176</v>
      </c>
      <c r="W31" s="328"/>
      <c r="X31" s="322">
        <f t="shared" si="23"/>
        <v>3324.9247528446176</v>
      </c>
      <c r="Y31" s="322"/>
      <c r="Z31" s="322"/>
      <c r="AA31" s="322">
        <f t="shared" si="24"/>
        <v>3324.9247528446176</v>
      </c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>
        <f t="shared" si="25"/>
        <v>0</v>
      </c>
      <c r="AM31" s="328"/>
      <c r="AN31" s="322"/>
      <c r="AO31" s="322"/>
      <c r="AP31" s="322"/>
      <c r="AQ31" s="322"/>
      <c r="AR31" s="322"/>
      <c r="AS31" s="322"/>
      <c r="AT31" s="322"/>
      <c r="AU31" s="322">
        <f t="shared" si="26"/>
        <v>0</v>
      </c>
      <c r="AV31" s="322"/>
      <c r="AW31" s="322"/>
    </row>
    <row r="32" spans="1:49" ht="15">
      <c r="A32" s="320" t="s">
        <v>279</v>
      </c>
      <c r="B32" s="321">
        <v>965.1</v>
      </c>
      <c r="C32" s="321">
        <v>965.1</v>
      </c>
      <c r="D32" s="321">
        <v>965.1</v>
      </c>
      <c r="E32" s="321">
        <v>965.1</v>
      </c>
      <c r="F32" s="321">
        <v>2524.37</v>
      </c>
      <c r="G32" s="321">
        <v>0</v>
      </c>
      <c r="H32" s="321">
        <v>1017</v>
      </c>
      <c r="I32" s="321">
        <v>1054</v>
      </c>
      <c r="J32" s="321">
        <v>1054</v>
      </c>
      <c r="K32" s="321">
        <v>1054</v>
      </c>
      <c r="L32" s="321">
        <v>2450.27</v>
      </c>
      <c r="M32" s="321">
        <v>1054</v>
      </c>
      <c r="N32" s="321">
        <f t="shared" si="18"/>
        <v>14068.04</v>
      </c>
      <c r="O32" s="328"/>
      <c r="P32" s="322">
        <f t="shared" si="19"/>
        <v>14068.04</v>
      </c>
      <c r="Q32" s="322">
        <f>-P32*'Drive Hours Recap'!$L$34</f>
        <v>-7350.2294422682353</v>
      </c>
      <c r="R32" s="322">
        <f t="shared" si="20"/>
        <v>6717.8105577317656</v>
      </c>
      <c r="S32" s="322">
        <f t="shared" si="27"/>
        <v>0</v>
      </c>
      <c r="T32" s="322">
        <f t="shared" si="21"/>
        <v>6717.8105577317656</v>
      </c>
      <c r="U32" s="322"/>
      <c r="V32" s="322">
        <f t="shared" si="22"/>
        <v>6717.8105577317656</v>
      </c>
      <c r="W32" s="328"/>
      <c r="X32" s="322">
        <f t="shared" si="23"/>
        <v>6717.8105577317656</v>
      </c>
      <c r="Y32" s="322"/>
      <c r="Z32" s="322"/>
      <c r="AA32" s="322">
        <f t="shared" si="24"/>
        <v>6717.8105577317656</v>
      </c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>
        <f t="shared" si="25"/>
        <v>0</v>
      </c>
      <c r="AM32" s="328"/>
      <c r="AN32" s="322"/>
      <c r="AO32" s="322"/>
      <c r="AP32" s="322"/>
      <c r="AQ32" s="322"/>
      <c r="AR32" s="322"/>
      <c r="AS32" s="322"/>
      <c r="AT32" s="322"/>
      <c r="AU32" s="322">
        <f t="shared" si="26"/>
        <v>0</v>
      </c>
      <c r="AV32" s="322"/>
      <c r="AW32" s="322"/>
    </row>
    <row r="33" spans="1:49" ht="15">
      <c r="A33" s="320" t="s">
        <v>280</v>
      </c>
      <c r="B33" s="321">
        <v>954.34</v>
      </c>
      <c r="C33" s="321">
        <v>202.95</v>
      </c>
      <c r="D33" s="321">
        <v>12</v>
      </c>
      <c r="E33" s="321">
        <v>962.06</v>
      </c>
      <c r="F33" s="321">
        <v>105.95</v>
      </c>
      <c r="G33" s="321">
        <v>269.94</v>
      </c>
      <c r="H33" s="321">
        <v>2201.94</v>
      </c>
      <c r="I33" s="321">
        <v>181.94</v>
      </c>
      <c r="J33" s="321">
        <v>1198.99</v>
      </c>
      <c r="K33" s="321">
        <v>338</v>
      </c>
      <c r="L33" s="321">
        <v>300.49</v>
      </c>
      <c r="M33" s="321">
        <v>1404.95</v>
      </c>
      <c r="N33" s="321">
        <f t="shared" si="18"/>
        <v>8133.5499999999993</v>
      </c>
      <c r="O33" s="328"/>
      <c r="P33" s="322">
        <f t="shared" si="19"/>
        <v>8133.5499999999993</v>
      </c>
      <c r="Q33" s="322">
        <f>-P33*'Drive Hours Recap'!$L$34</f>
        <v>-4249.5940216377548</v>
      </c>
      <c r="R33" s="322">
        <f t="shared" si="20"/>
        <v>3883.9559783622444</v>
      </c>
      <c r="S33" s="322">
        <f t="shared" si="27"/>
        <v>0</v>
      </c>
      <c r="T33" s="322">
        <f t="shared" si="21"/>
        <v>3883.9559783622444</v>
      </c>
      <c r="U33" s="322"/>
      <c r="V33" s="322">
        <f t="shared" si="22"/>
        <v>3883.9559783622444</v>
      </c>
      <c r="W33" s="328"/>
      <c r="X33" s="322">
        <f t="shared" si="23"/>
        <v>3883.9559783622444</v>
      </c>
      <c r="Y33" s="322"/>
      <c r="Z33" s="322"/>
      <c r="AA33" s="322">
        <f t="shared" si="24"/>
        <v>3883.9559783622444</v>
      </c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>
        <f t="shared" si="25"/>
        <v>0</v>
      </c>
      <c r="AM33" s="328"/>
      <c r="AN33" s="322"/>
      <c r="AO33" s="322"/>
      <c r="AP33" s="322"/>
      <c r="AQ33" s="322"/>
      <c r="AR33" s="322"/>
      <c r="AS33" s="322"/>
      <c r="AT33" s="322"/>
      <c r="AU33" s="322">
        <f t="shared" si="26"/>
        <v>0</v>
      </c>
      <c r="AV33" s="322"/>
      <c r="AW33" s="322"/>
    </row>
    <row r="34" spans="1:49" ht="15">
      <c r="A34" s="320" t="s">
        <v>281</v>
      </c>
      <c r="B34" s="321">
        <v>0</v>
      </c>
      <c r="C34" s="321">
        <v>0</v>
      </c>
      <c r="D34" s="321">
        <v>0</v>
      </c>
      <c r="E34" s="321">
        <v>0</v>
      </c>
      <c r="F34" s="321">
        <v>0</v>
      </c>
      <c r="G34" s="321">
        <v>0</v>
      </c>
      <c r="H34" s="321">
        <v>0</v>
      </c>
      <c r="I34" s="321">
        <v>0</v>
      </c>
      <c r="J34" s="321">
        <v>0</v>
      </c>
      <c r="K34" s="321"/>
      <c r="L34" s="321">
        <v>0</v>
      </c>
      <c r="M34" s="321">
        <v>0</v>
      </c>
      <c r="N34" s="321">
        <f t="shared" si="18"/>
        <v>0</v>
      </c>
      <c r="O34" s="328"/>
      <c r="P34" s="322">
        <f t="shared" si="19"/>
        <v>0</v>
      </c>
      <c r="Q34" s="322">
        <f>-P34*'Drive Hours Recap'!$L$34</f>
        <v>0</v>
      </c>
      <c r="R34" s="322">
        <f t="shared" si="20"/>
        <v>0</v>
      </c>
      <c r="S34" s="322">
        <f t="shared" si="27"/>
        <v>0</v>
      </c>
      <c r="T34" s="322">
        <f t="shared" si="21"/>
        <v>0</v>
      </c>
      <c r="U34" s="322"/>
      <c r="V34" s="322">
        <f t="shared" si="22"/>
        <v>0</v>
      </c>
      <c r="W34" s="328"/>
      <c r="X34" s="322">
        <f t="shared" si="23"/>
        <v>0</v>
      </c>
      <c r="Y34" s="322"/>
      <c r="Z34" s="322"/>
      <c r="AA34" s="322">
        <f t="shared" si="24"/>
        <v>0</v>
      </c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>
        <f t="shared" si="25"/>
        <v>0</v>
      </c>
      <c r="AM34" s="328"/>
      <c r="AN34" s="322"/>
      <c r="AO34" s="322"/>
      <c r="AP34" s="322"/>
      <c r="AQ34" s="322"/>
      <c r="AR34" s="322"/>
      <c r="AS34" s="322"/>
      <c r="AT34" s="322"/>
      <c r="AU34" s="322">
        <f t="shared" si="26"/>
        <v>0</v>
      </c>
      <c r="AV34" s="322"/>
      <c r="AW34" s="322"/>
    </row>
    <row r="35" spans="1:49" ht="15">
      <c r="A35" s="320" t="s">
        <v>282</v>
      </c>
      <c r="B35" s="321">
        <v>0</v>
      </c>
      <c r="C35" s="321">
        <v>0</v>
      </c>
      <c r="D35" s="321">
        <v>0</v>
      </c>
      <c r="E35" s="321">
        <v>0</v>
      </c>
      <c r="F35" s="321">
        <v>0</v>
      </c>
      <c r="G35" s="321">
        <v>0</v>
      </c>
      <c r="H35" s="321">
        <v>0</v>
      </c>
      <c r="I35" s="321">
        <v>0</v>
      </c>
      <c r="J35" s="321">
        <v>0</v>
      </c>
      <c r="K35" s="321">
        <v>0</v>
      </c>
      <c r="L35" s="321">
        <v>0</v>
      </c>
      <c r="M35" s="321">
        <v>0</v>
      </c>
      <c r="N35" s="321">
        <f t="shared" si="18"/>
        <v>0</v>
      </c>
      <c r="O35" s="328"/>
      <c r="P35" s="322">
        <f t="shared" si="19"/>
        <v>0</v>
      </c>
      <c r="Q35" s="322">
        <f>-P35*'Drive Hours Recap'!$L$34</f>
        <v>0</v>
      </c>
      <c r="R35" s="322">
        <f t="shared" si="20"/>
        <v>0</v>
      </c>
      <c r="S35" s="322">
        <f t="shared" si="27"/>
        <v>0</v>
      </c>
      <c r="T35" s="322">
        <f t="shared" si="21"/>
        <v>0</v>
      </c>
      <c r="U35" s="322"/>
      <c r="V35" s="322">
        <f t="shared" si="22"/>
        <v>0</v>
      </c>
      <c r="W35" s="328"/>
      <c r="X35" s="322">
        <f t="shared" si="23"/>
        <v>0</v>
      </c>
      <c r="Y35" s="322"/>
      <c r="Z35" s="322"/>
      <c r="AA35" s="322">
        <f t="shared" si="24"/>
        <v>0</v>
      </c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>
        <f t="shared" si="25"/>
        <v>0</v>
      </c>
      <c r="AM35" s="328"/>
      <c r="AN35" s="322"/>
      <c r="AO35" s="322"/>
      <c r="AP35" s="322"/>
      <c r="AQ35" s="322"/>
      <c r="AR35" s="322"/>
      <c r="AS35" s="322"/>
      <c r="AT35" s="322"/>
      <c r="AU35" s="322">
        <f t="shared" si="26"/>
        <v>0</v>
      </c>
      <c r="AV35" s="322"/>
      <c r="AW35" s="322"/>
    </row>
    <row r="36" spans="1:49" ht="15">
      <c r="A36" s="320" t="s">
        <v>283</v>
      </c>
      <c r="B36" s="321">
        <v>0</v>
      </c>
      <c r="C36" s="321">
        <v>0</v>
      </c>
      <c r="D36" s="321">
        <v>0</v>
      </c>
      <c r="E36" s="321">
        <v>0</v>
      </c>
      <c r="F36" s="321">
        <v>0</v>
      </c>
      <c r="G36" s="321">
        <v>0</v>
      </c>
      <c r="H36" s="321">
        <v>0</v>
      </c>
      <c r="I36" s="321">
        <v>0</v>
      </c>
      <c r="J36" s="321">
        <v>0</v>
      </c>
      <c r="K36" s="321">
        <v>0</v>
      </c>
      <c r="L36" s="321">
        <v>0</v>
      </c>
      <c r="M36" s="321">
        <v>0</v>
      </c>
      <c r="N36" s="321">
        <f t="shared" si="18"/>
        <v>0</v>
      </c>
      <c r="O36" s="328"/>
      <c r="P36" s="322">
        <v>20501</v>
      </c>
      <c r="Q36" s="322">
        <f>-P36*'Drive Hours Recap'!$L$34</f>
        <v>-10711.304047752286</v>
      </c>
      <c r="R36" s="322">
        <f t="shared" si="20"/>
        <v>9789.6959522477136</v>
      </c>
      <c r="S36" s="322">
        <f>Assets!M39+Assets!N39-'Income Statement'!R36</f>
        <v>2789.4490758214088</v>
      </c>
      <c r="T36" s="322">
        <f t="shared" si="21"/>
        <v>12579.145028069122</v>
      </c>
      <c r="U36" s="322"/>
      <c r="V36" s="322">
        <f t="shared" si="22"/>
        <v>12579.145028069122</v>
      </c>
      <c r="W36" s="328"/>
      <c r="X36" s="322">
        <f t="shared" si="23"/>
        <v>12579.145028069122</v>
      </c>
      <c r="Y36" s="322"/>
      <c r="Z36" s="322"/>
      <c r="AA36" s="322">
        <f t="shared" si="24"/>
        <v>12579.145028069122</v>
      </c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>
        <f t="shared" si="25"/>
        <v>0</v>
      </c>
      <c r="AM36" s="328"/>
      <c r="AN36" s="322"/>
      <c r="AO36" s="322"/>
      <c r="AP36" s="322"/>
      <c r="AQ36" s="322"/>
      <c r="AR36" s="322"/>
      <c r="AS36" s="322"/>
      <c r="AT36" s="322"/>
      <c r="AU36" s="322">
        <f t="shared" si="26"/>
        <v>0</v>
      </c>
      <c r="AV36" s="322"/>
      <c r="AW36" s="322"/>
    </row>
    <row r="37" spans="1:49" ht="15">
      <c r="A37" s="320" t="s">
        <v>284</v>
      </c>
      <c r="B37" s="321">
        <v>0</v>
      </c>
      <c r="C37" s="321">
        <v>0</v>
      </c>
      <c r="D37" s="321">
        <v>0</v>
      </c>
      <c r="E37" s="321">
        <v>0</v>
      </c>
      <c r="F37" s="321">
        <v>0</v>
      </c>
      <c r="G37" s="321">
        <v>0</v>
      </c>
      <c r="H37" s="321">
        <v>0</v>
      </c>
      <c r="I37" s="321">
        <v>0</v>
      </c>
      <c r="J37" s="321">
        <v>0</v>
      </c>
      <c r="K37" s="321">
        <v>0</v>
      </c>
      <c r="L37" s="321">
        <v>0</v>
      </c>
      <c r="M37" s="321">
        <v>0</v>
      </c>
      <c r="N37" s="321">
        <f t="shared" si="18"/>
        <v>0</v>
      </c>
      <c r="O37" s="328"/>
      <c r="P37" s="322">
        <f t="shared" si="19"/>
        <v>0</v>
      </c>
      <c r="Q37" s="322">
        <f>-P37*'Drive Hours Recap'!$L$34</f>
        <v>0</v>
      </c>
      <c r="R37" s="322">
        <f t="shared" si="20"/>
        <v>0</v>
      </c>
      <c r="S37" s="322">
        <f>+AU37</f>
        <v>0</v>
      </c>
      <c r="T37" s="322">
        <f t="shared" si="21"/>
        <v>0</v>
      </c>
      <c r="U37" s="322"/>
      <c r="V37" s="322">
        <f t="shared" si="22"/>
        <v>0</v>
      </c>
      <c r="W37" s="328"/>
      <c r="X37" s="322">
        <f t="shared" si="23"/>
        <v>0</v>
      </c>
      <c r="Y37" s="322"/>
      <c r="Z37" s="322"/>
      <c r="AA37" s="322">
        <f t="shared" si="24"/>
        <v>0</v>
      </c>
      <c r="AB37" s="322"/>
      <c r="AC37" s="322">
        <f>-P37</f>
        <v>0</v>
      </c>
      <c r="AD37" s="322"/>
      <c r="AE37" s="322"/>
      <c r="AF37" s="322"/>
      <c r="AG37" s="322"/>
      <c r="AH37" s="322"/>
      <c r="AI37" s="322"/>
      <c r="AJ37" s="322"/>
      <c r="AK37" s="322"/>
      <c r="AL37" s="322">
        <f t="shared" si="25"/>
        <v>0</v>
      </c>
      <c r="AM37" s="328"/>
      <c r="AN37" s="322"/>
      <c r="AO37" s="322"/>
      <c r="AP37" s="322"/>
      <c r="AQ37" s="322"/>
      <c r="AR37" s="322"/>
      <c r="AS37" s="322"/>
      <c r="AT37" s="322"/>
      <c r="AU37" s="322">
        <f t="shared" si="26"/>
        <v>0</v>
      </c>
      <c r="AV37" s="322"/>
      <c r="AW37" s="322"/>
    </row>
    <row r="38" spans="1:49" ht="15">
      <c r="A38" s="320" t="s">
        <v>285</v>
      </c>
      <c r="B38" s="321">
        <v>0</v>
      </c>
      <c r="C38" s="321">
        <v>0</v>
      </c>
      <c r="D38" s="321">
        <v>0</v>
      </c>
      <c r="E38" s="321">
        <v>0</v>
      </c>
      <c r="F38" s="321">
        <v>0</v>
      </c>
      <c r="G38" s="321">
        <v>0</v>
      </c>
      <c r="H38" s="321">
        <v>0</v>
      </c>
      <c r="I38" s="321">
        <v>0</v>
      </c>
      <c r="J38" s="321">
        <v>0</v>
      </c>
      <c r="K38" s="321">
        <v>0</v>
      </c>
      <c r="L38" s="321">
        <v>0</v>
      </c>
      <c r="M38" s="321">
        <v>0</v>
      </c>
      <c r="N38" s="321">
        <f t="shared" si="18"/>
        <v>0</v>
      </c>
      <c r="O38" s="328"/>
      <c r="P38" s="322">
        <f t="shared" si="19"/>
        <v>0</v>
      </c>
      <c r="Q38" s="322">
        <f>-P38*'Drive Hours Recap'!$L$34</f>
        <v>0</v>
      </c>
      <c r="R38" s="322">
        <f t="shared" si="20"/>
        <v>0</v>
      </c>
      <c r="S38" s="322">
        <f>+AU38</f>
        <v>0</v>
      </c>
      <c r="T38" s="322">
        <f t="shared" si="21"/>
        <v>0</v>
      </c>
      <c r="U38" s="322"/>
      <c r="V38" s="322">
        <f t="shared" si="22"/>
        <v>0</v>
      </c>
      <c r="W38" s="328"/>
      <c r="X38" s="322">
        <f t="shared" si="23"/>
        <v>0</v>
      </c>
      <c r="Y38" s="322"/>
      <c r="Z38" s="322"/>
      <c r="AA38" s="322">
        <f t="shared" si="24"/>
        <v>0</v>
      </c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>
        <f t="shared" si="25"/>
        <v>0</v>
      </c>
      <c r="AM38" s="328"/>
      <c r="AN38" s="322"/>
      <c r="AO38" s="322"/>
      <c r="AP38" s="322"/>
      <c r="AQ38" s="322"/>
      <c r="AR38" s="322"/>
      <c r="AS38" s="322"/>
      <c r="AT38" s="322"/>
      <c r="AU38" s="322">
        <f t="shared" si="26"/>
        <v>0</v>
      </c>
      <c r="AV38" s="322"/>
      <c r="AW38" s="322"/>
    </row>
    <row r="39" spans="1:49" ht="15">
      <c r="A39" s="320" t="s">
        <v>286</v>
      </c>
      <c r="B39" s="321">
        <v>0</v>
      </c>
      <c r="C39" s="321">
        <v>0</v>
      </c>
      <c r="D39" s="321">
        <v>0</v>
      </c>
      <c r="E39" s="321">
        <v>0</v>
      </c>
      <c r="F39" s="321">
        <v>0</v>
      </c>
      <c r="G39" s="321">
        <v>0</v>
      </c>
      <c r="H39" s="321">
        <v>0</v>
      </c>
      <c r="I39" s="321">
        <v>0</v>
      </c>
      <c r="J39" s="321">
        <v>0</v>
      </c>
      <c r="K39" s="321">
        <v>0</v>
      </c>
      <c r="L39" s="321">
        <v>0</v>
      </c>
      <c r="M39" s="321">
        <v>0</v>
      </c>
      <c r="N39" s="321">
        <f t="shared" si="18"/>
        <v>0</v>
      </c>
      <c r="O39" s="328"/>
      <c r="P39" s="322">
        <f t="shared" si="19"/>
        <v>0</v>
      </c>
      <c r="Q39" s="322">
        <f>-P39*'Drive Hours Recap'!$L$34</f>
        <v>0</v>
      </c>
      <c r="R39" s="322">
        <f t="shared" si="20"/>
        <v>0</v>
      </c>
      <c r="S39" s="322">
        <f>+AU39</f>
        <v>0</v>
      </c>
      <c r="T39" s="322">
        <f t="shared" si="21"/>
        <v>0</v>
      </c>
      <c r="U39" s="322"/>
      <c r="V39" s="322">
        <f t="shared" si="22"/>
        <v>0</v>
      </c>
      <c r="W39" s="328"/>
      <c r="X39" s="322">
        <f t="shared" si="23"/>
        <v>0</v>
      </c>
      <c r="Y39" s="322"/>
      <c r="Z39" s="322"/>
      <c r="AA39" s="322">
        <f t="shared" si="24"/>
        <v>0</v>
      </c>
      <c r="AB39" s="322"/>
      <c r="AC39" s="322">
        <f>-P39</f>
        <v>0</v>
      </c>
      <c r="AD39" s="322"/>
      <c r="AE39" s="322"/>
      <c r="AF39" s="322"/>
      <c r="AG39" s="322"/>
      <c r="AH39" s="322"/>
      <c r="AI39" s="322"/>
      <c r="AJ39" s="322"/>
      <c r="AK39" s="322"/>
      <c r="AL39" s="322">
        <f t="shared" si="25"/>
        <v>0</v>
      </c>
      <c r="AM39" s="328"/>
      <c r="AN39" s="322"/>
      <c r="AO39" s="322"/>
      <c r="AP39" s="322"/>
      <c r="AQ39" s="322"/>
      <c r="AR39" s="322"/>
      <c r="AS39" s="322"/>
      <c r="AT39" s="322"/>
      <c r="AU39" s="322">
        <f t="shared" si="26"/>
        <v>0</v>
      </c>
      <c r="AV39" s="322"/>
      <c r="AW39" s="322"/>
    </row>
    <row r="40" spans="1:49" ht="15">
      <c r="A40" s="320" t="s">
        <v>287</v>
      </c>
      <c r="B40" s="321">
        <v>0</v>
      </c>
      <c r="C40" s="321">
        <v>0</v>
      </c>
      <c r="D40" s="321">
        <v>0</v>
      </c>
      <c r="E40" s="321">
        <v>0</v>
      </c>
      <c r="F40" s="321">
        <v>0</v>
      </c>
      <c r="G40" s="321">
        <v>0</v>
      </c>
      <c r="H40" s="321">
        <v>0</v>
      </c>
      <c r="I40" s="321">
        <v>0</v>
      </c>
      <c r="J40" s="321">
        <v>0</v>
      </c>
      <c r="K40" s="321">
        <v>0</v>
      </c>
      <c r="L40" s="321">
        <v>0</v>
      </c>
      <c r="M40" s="321">
        <v>0</v>
      </c>
      <c r="N40" s="321">
        <f t="shared" si="18"/>
        <v>0</v>
      </c>
      <c r="O40" s="328"/>
      <c r="P40" s="322">
        <f t="shared" si="19"/>
        <v>0</v>
      </c>
      <c r="Q40" s="322">
        <f>-P40*'Drive Hours Recap'!$L$34</f>
        <v>0</v>
      </c>
      <c r="R40" s="322">
        <f t="shared" si="20"/>
        <v>0</v>
      </c>
      <c r="S40" s="661">
        <f>T18*'Current Garbage LG 2018'!C12</f>
        <v>1126.4798400000002</v>
      </c>
      <c r="T40" s="322">
        <f t="shared" si="21"/>
        <v>1126.4798400000002</v>
      </c>
      <c r="V40" s="322">
        <f t="shared" si="22"/>
        <v>1126.4798400000002</v>
      </c>
      <c r="W40" s="328"/>
      <c r="X40" s="322">
        <f t="shared" si="23"/>
        <v>1126.4798400000002</v>
      </c>
      <c r="Y40" s="322"/>
      <c r="Z40" s="322">
        <f ca="1">AA18*'Garbage LG 2019 '!C12-X40</f>
        <v>2218.88628873178</v>
      </c>
      <c r="AA40" s="322">
        <f t="shared" ca="1" si="24"/>
        <v>3345.36612873178</v>
      </c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>
        <f t="shared" si="25"/>
        <v>0</v>
      </c>
      <c r="AM40" s="328"/>
      <c r="AN40" s="322"/>
      <c r="AO40" s="322"/>
      <c r="AP40" s="322"/>
      <c r="AQ40" s="322"/>
      <c r="AR40" s="322"/>
      <c r="AS40" s="322"/>
      <c r="AT40" s="322"/>
      <c r="AU40" s="322">
        <f t="shared" si="26"/>
        <v>0</v>
      </c>
      <c r="AV40" s="322"/>
      <c r="AW40" s="322"/>
    </row>
    <row r="41" spans="1:49" ht="15.75">
      <c r="A41" s="320" t="s">
        <v>288</v>
      </c>
      <c r="B41" s="321">
        <v>0</v>
      </c>
      <c r="C41" s="321">
        <v>1951.23</v>
      </c>
      <c r="D41" s="321">
        <v>0</v>
      </c>
      <c r="E41" s="321">
        <v>0</v>
      </c>
      <c r="F41" s="321">
        <v>1565.67</v>
      </c>
      <c r="G41" s="321">
        <v>0</v>
      </c>
      <c r="H41" s="321">
        <v>0</v>
      </c>
      <c r="I41" s="321">
        <v>7745.74</v>
      </c>
      <c r="J41" s="321">
        <v>3813</v>
      </c>
      <c r="K41" s="321">
        <v>2024.47</v>
      </c>
      <c r="L41" s="321">
        <v>1031.99</v>
      </c>
      <c r="M41" s="321">
        <v>1271</v>
      </c>
      <c r="N41" s="321">
        <f t="shared" si="18"/>
        <v>19403.100000000002</v>
      </c>
      <c r="O41" s="328"/>
      <c r="P41" s="322">
        <f t="shared" si="19"/>
        <v>19403.100000000002</v>
      </c>
      <c r="Q41" s="322">
        <f>-P41*'Drive Hours Recap'!$L$34</f>
        <v>-10137.6763850028</v>
      </c>
      <c r="R41" s="322">
        <f t="shared" si="20"/>
        <v>9265.4236149972021</v>
      </c>
      <c r="S41" s="663">
        <f>T18*'Current Garbage LG 2018'!C11-R41</f>
        <v>-5952.2476149972017</v>
      </c>
      <c r="T41" s="322">
        <f t="shared" si="21"/>
        <v>3313.1760000000004</v>
      </c>
      <c r="V41" s="322">
        <f t="shared" si="22"/>
        <v>3313.1760000000004</v>
      </c>
      <c r="W41" s="328"/>
      <c r="X41" s="322">
        <f t="shared" si="23"/>
        <v>3313.1760000000004</v>
      </c>
      <c r="Y41" s="322"/>
      <c r="Z41" s="322">
        <f ca="1">AA18*'Garbage LG 2019 '!C11-X41</f>
        <v>6526.136143328763</v>
      </c>
      <c r="AA41" s="322">
        <f t="shared" ca="1" si="24"/>
        <v>9839.3121433287633</v>
      </c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>
        <f t="shared" si="25"/>
        <v>0</v>
      </c>
      <c r="AM41" s="328"/>
      <c r="AN41" s="322"/>
      <c r="AO41" s="322"/>
      <c r="AP41" s="322"/>
      <c r="AQ41" s="322"/>
      <c r="AR41" s="322"/>
      <c r="AS41" s="322"/>
      <c r="AT41" s="322"/>
      <c r="AU41" s="322">
        <f t="shared" si="26"/>
        <v>0</v>
      </c>
      <c r="AV41" s="322"/>
      <c r="AW41" s="322"/>
    </row>
    <row r="42" spans="1:49" ht="15">
      <c r="A42" s="320" t="s">
        <v>289</v>
      </c>
      <c r="B42" s="321">
        <v>0</v>
      </c>
      <c r="C42" s="321">
        <v>0</v>
      </c>
      <c r="D42" s="321">
        <v>0</v>
      </c>
      <c r="E42" s="321">
        <v>0</v>
      </c>
      <c r="F42" s="321">
        <v>0</v>
      </c>
      <c r="G42" s="321">
        <v>0</v>
      </c>
      <c r="H42" s="321">
        <v>0</v>
      </c>
      <c r="I42" s="321">
        <v>0</v>
      </c>
      <c r="J42" s="321">
        <v>0</v>
      </c>
      <c r="K42" s="321">
        <v>0</v>
      </c>
      <c r="L42" s="321">
        <v>0</v>
      </c>
      <c r="M42" s="321">
        <v>0</v>
      </c>
      <c r="N42" s="321">
        <f t="shared" si="18"/>
        <v>0</v>
      </c>
      <c r="O42" s="328"/>
      <c r="P42" s="322">
        <f t="shared" si="19"/>
        <v>0</v>
      </c>
      <c r="Q42" s="499">
        <f>'Drive Hours Recap'!T21*'Drive Hours Recap'!L32</f>
        <v>34387.57292696448</v>
      </c>
      <c r="R42" s="322">
        <f t="shared" si="20"/>
        <v>34387.57292696448</v>
      </c>
      <c r="S42" s="322">
        <f t="shared" ref="S42:S47" si="28">+AU42</f>
        <v>0</v>
      </c>
      <c r="T42" s="322">
        <f t="shared" si="21"/>
        <v>34387.57292696448</v>
      </c>
      <c r="U42" s="322"/>
      <c r="V42" s="322">
        <f t="shared" si="22"/>
        <v>34387.57292696448</v>
      </c>
      <c r="W42" s="328"/>
      <c r="X42" s="322">
        <f t="shared" si="23"/>
        <v>34387.57292696448</v>
      </c>
      <c r="Y42" s="322"/>
      <c r="Z42" s="322"/>
      <c r="AA42" s="322">
        <f t="shared" si="24"/>
        <v>34387.57292696448</v>
      </c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>
        <f t="shared" si="25"/>
        <v>0</v>
      </c>
      <c r="AM42" s="328"/>
      <c r="AN42" s="322"/>
      <c r="AO42" s="322"/>
      <c r="AP42" s="322"/>
      <c r="AQ42" s="322"/>
      <c r="AR42" s="322"/>
      <c r="AS42" s="322"/>
      <c r="AT42" s="322"/>
      <c r="AU42" s="322">
        <f t="shared" si="26"/>
        <v>0</v>
      </c>
      <c r="AV42" s="322"/>
      <c r="AW42" s="322"/>
    </row>
    <row r="43" spans="1:49" ht="15">
      <c r="A43" s="333" t="s">
        <v>290</v>
      </c>
      <c r="B43" s="334">
        <v>180</v>
      </c>
      <c r="C43" s="334">
        <v>0</v>
      </c>
      <c r="D43" s="334">
        <v>180</v>
      </c>
      <c r="E43" s="334">
        <v>360</v>
      </c>
      <c r="F43" s="334">
        <v>180</v>
      </c>
      <c r="G43" s="334">
        <v>180</v>
      </c>
      <c r="H43" s="334">
        <v>180</v>
      </c>
      <c r="I43" s="334">
        <v>360</v>
      </c>
      <c r="J43" s="334">
        <v>0</v>
      </c>
      <c r="K43" s="334">
        <v>680</v>
      </c>
      <c r="L43" s="334">
        <v>180</v>
      </c>
      <c r="M43" s="334">
        <v>0</v>
      </c>
      <c r="N43" s="334">
        <f t="shared" si="18"/>
        <v>2480</v>
      </c>
      <c r="O43" s="328"/>
      <c r="P43" s="322">
        <f t="shared" si="19"/>
        <v>2480</v>
      </c>
      <c r="Q43" s="322">
        <f>-P43*'Drive Hours Recap'!$L$34</f>
        <v>-1295.74333146801</v>
      </c>
      <c r="R43" s="322">
        <f t="shared" si="20"/>
        <v>1184.25666853199</v>
      </c>
      <c r="S43" s="322">
        <f t="shared" si="28"/>
        <v>0</v>
      </c>
      <c r="T43" s="322">
        <f t="shared" si="21"/>
        <v>1184.25666853199</v>
      </c>
      <c r="U43" s="322"/>
      <c r="V43" s="322">
        <f t="shared" si="22"/>
        <v>1184.25666853199</v>
      </c>
      <c r="W43" s="328"/>
      <c r="X43" s="322">
        <f t="shared" si="23"/>
        <v>1184.25666853199</v>
      </c>
      <c r="Y43" s="322"/>
      <c r="Z43" s="322"/>
      <c r="AA43" s="322">
        <f t="shared" si="24"/>
        <v>1184.25666853199</v>
      </c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>
        <f t="shared" si="25"/>
        <v>0</v>
      </c>
      <c r="AM43" s="328"/>
      <c r="AN43" s="322"/>
      <c r="AO43" s="322"/>
      <c r="AP43" s="322"/>
      <c r="AQ43" s="322"/>
      <c r="AR43" s="322"/>
      <c r="AS43" s="322"/>
      <c r="AT43" s="322"/>
      <c r="AU43" s="322">
        <f t="shared" si="26"/>
        <v>0</v>
      </c>
      <c r="AV43" s="322"/>
      <c r="AW43" s="322"/>
    </row>
    <row r="44" spans="1:49" ht="15">
      <c r="A44" s="320" t="s">
        <v>291</v>
      </c>
      <c r="B44" s="321">
        <v>0</v>
      </c>
      <c r="C44" s="321">
        <v>0</v>
      </c>
      <c r="D44" s="321">
        <v>0</v>
      </c>
      <c r="E44" s="321">
        <v>0</v>
      </c>
      <c r="F44" s="321">
        <v>0</v>
      </c>
      <c r="G44" s="321">
        <v>0</v>
      </c>
      <c r="H44" s="321">
        <v>0</v>
      </c>
      <c r="I44" s="321"/>
      <c r="J44" s="321">
        <v>0</v>
      </c>
      <c r="K44" s="321">
        <v>0</v>
      </c>
      <c r="L44" s="321">
        <v>0</v>
      </c>
      <c r="M44" s="321">
        <v>0</v>
      </c>
      <c r="N44" s="321">
        <f t="shared" si="18"/>
        <v>0</v>
      </c>
      <c r="O44" s="328"/>
      <c r="P44" s="322">
        <f t="shared" si="19"/>
        <v>0</v>
      </c>
      <c r="Q44" s="322">
        <f>-P44*'Drive Hours Recap'!$L$34</f>
        <v>0</v>
      </c>
      <c r="R44" s="322">
        <f t="shared" si="20"/>
        <v>0</v>
      </c>
      <c r="S44" s="322">
        <f t="shared" si="28"/>
        <v>0</v>
      </c>
      <c r="T44" s="322">
        <f t="shared" si="21"/>
        <v>0</v>
      </c>
      <c r="U44" s="322"/>
      <c r="V44" s="322">
        <f t="shared" si="22"/>
        <v>0</v>
      </c>
      <c r="W44" s="328"/>
      <c r="X44" s="322">
        <f t="shared" si="23"/>
        <v>0</v>
      </c>
      <c r="Y44" s="322"/>
      <c r="Z44" s="322"/>
      <c r="AA44" s="322">
        <f t="shared" si="24"/>
        <v>0</v>
      </c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>
        <f t="shared" si="25"/>
        <v>0</v>
      </c>
      <c r="AM44" s="328"/>
      <c r="AN44" s="322"/>
      <c r="AO44" s="322"/>
      <c r="AP44" s="322"/>
      <c r="AQ44" s="322"/>
      <c r="AR44" s="322"/>
      <c r="AS44" s="322"/>
      <c r="AT44" s="322"/>
      <c r="AU44" s="322">
        <f t="shared" si="26"/>
        <v>0</v>
      </c>
      <c r="AV44" s="322"/>
      <c r="AW44" s="322"/>
    </row>
    <row r="45" spans="1:49" ht="15">
      <c r="A45" s="320" t="s">
        <v>292</v>
      </c>
      <c r="B45" s="321">
        <v>120</v>
      </c>
      <c r="C45" s="321">
        <v>457.5</v>
      </c>
      <c r="D45" s="321">
        <v>0</v>
      </c>
      <c r="E45" s="321">
        <v>0</v>
      </c>
      <c r="F45" s="321">
        <v>1165</v>
      </c>
      <c r="G45" s="321">
        <v>105</v>
      </c>
      <c r="H45" s="321">
        <v>1382</v>
      </c>
      <c r="I45" s="321">
        <v>549</v>
      </c>
      <c r="J45" s="321">
        <v>135</v>
      </c>
      <c r="K45" s="321">
        <v>0</v>
      </c>
      <c r="L45" s="321">
        <v>262.5</v>
      </c>
      <c r="M45" s="321">
        <v>121.5</v>
      </c>
      <c r="N45" s="321">
        <f t="shared" si="18"/>
        <v>4297.5</v>
      </c>
      <c r="O45" s="328"/>
      <c r="P45" s="322">
        <f t="shared" si="19"/>
        <v>4297.5</v>
      </c>
      <c r="Q45" s="322">
        <f>-P45*'Drive Hours Recap'!$L$34</f>
        <v>-2245.3455512031342</v>
      </c>
      <c r="R45" s="322">
        <f t="shared" si="20"/>
        <v>2052.1544487968658</v>
      </c>
      <c r="S45" s="322">
        <f t="shared" si="28"/>
        <v>0</v>
      </c>
      <c r="T45" s="322">
        <f t="shared" si="21"/>
        <v>2052.1544487968658</v>
      </c>
      <c r="U45" s="322"/>
      <c r="V45" s="322">
        <f t="shared" si="22"/>
        <v>2052.1544487968658</v>
      </c>
      <c r="W45" s="328"/>
      <c r="X45" s="322">
        <f t="shared" si="23"/>
        <v>2052.1544487968658</v>
      </c>
      <c r="Y45" s="322"/>
      <c r="Z45" s="322"/>
      <c r="AA45" s="322">
        <f t="shared" si="24"/>
        <v>2052.1544487968658</v>
      </c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>
        <f t="shared" si="25"/>
        <v>0</v>
      </c>
      <c r="AM45" s="328"/>
      <c r="AN45" s="322"/>
      <c r="AO45" s="322"/>
      <c r="AP45" s="322"/>
      <c r="AQ45" s="322"/>
      <c r="AR45" s="322"/>
      <c r="AS45" s="322"/>
      <c r="AT45" s="322"/>
      <c r="AU45" s="322">
        <f t="shared" si="26"/>
        <v>0</v>
      </c>
      <c r="AV45" s="322"/>
      <c r="AW45" s="322"/>
    </row>
    <row r="46" spans="1:49" ht="15">
      <c r="A46" s="333" t="s">
        <v>293</v>
      </c>
      <c r="B46" s="334">
        <v>0</v>
      </c>
      <c r="C46" s="334">
        <v>0</v>
      </c>
      <c r="D46" s="334">
        <v>0</v>
      </c>
      <c r="E46" s="334">
        <v>3070.72</v>
      </c>
      <c r="F46" s="334">
        <v>0</v>
      </c>
      <c r="G46" s="334">
        <v>523.14</v>
      </c>
      <c r="H46" s="334">
        <v>35.979999999999997</v>
      </c>
      <c r="I46" s="334">
        <v>0</v>
      </c>
      <c r="J46" s="334">
        <v>0</v>
      </c>
      <c r="K46" s="334">
        <v>431.4</v>
      </c>
      <c r="L46" s="334">
        <v>-430</v>
      </c>
      <c r="M46" s="334">
        <v>0</v>
      </c>
      <c r="N46" s="334">
        <f t="shared" si="18"/>
        <v>3631.24</v>
      </c>
      <c r="O46" s="328"/>
      <c r="P46" s="322">
        <f t="shared" si="19"/>
        <v>3631.24</v>
      </c>
      <c r="Q46" s="322">
        <f>-P46*'Drive Hours Recap'!$L$34</f>
        <v>-1897.2399253870549</v>
      </c>
      <c r="R46" s="322">
        <f t="shared" si="20"/>
        <v>1734.0000746129449</v>
      </c>
      <c r="S46" s="322">
        <f t="shared" si="28"/>
        <v>0</v>
      </c>
      <c r="T46" s="322">
        <f t="shared" si="21"/>
        <v>1734.0000746129449</v>
      </c>
      <c r="U46" s="322"/>
      <c r="V46" s="322">
        <f t="shared" si="22"/>
        <v>1734.0000746129449</v>
      </c>
      <c r="W46" s="328"/>
      <c r="X46" s="322">
        <f t="shared" si="23"/>
        <v>1734.0000746129449</v>
      </c>
      <c r="Y46" s="322"/>
      <c r="Z46" s="322"/>
      <c r="AA46" s="322">
        <f t="shared" si="24"/>
        <v>1734.0000746129449</v>
      </c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>
        <f t="shared" si="25"/>
        <v>0</v>
      </c>
      <c r="AM46" s="328"/>
      <c r="AN46" s="322"/>
      <c r="AO46" s="322"/>
      <c r="AP46" s="322"/>
      <c r="AQ46" s="322"/>
      <c r="AR46" s="322"/>
      <c r="AS46" s="322"/>
      <c r="AT46" s="322"/>
      <c r="AU46" s="322">
        <f t="shared" si="26"/>
        <v>0</v>
      </c>
      <c r="AV46" s="322"/>
      <c r="AW46" s="322"/>
    </row>
    <row r="47" spans="1:49" ht="15">
      <c r="A47" s="320" t="s">
        <v>294</v>
      </c>
      <c r="B47" s="321">
        <v>2439.44</v>
      </c>
      <c r="C47" s="321">
        <v>5095.33</v>
      </c>
      <c r="D47" s="321">
        <v>745.91</v>
      </c>
      <c r="E47" s="321">
        <v>2943.35</v>
      </c>
      <c r="F47" s="321">
        <v>3704.58</v>
      </c>
      <c r="G47" s="321">
        <v>2267.0700000000002</v>
      </c>
      <c r="H47" s="321">
        <v>4033.72</v>
      </c>
      <c r="I47" s="321">
        <v>1776.28</v>
      </c>
      <c r="J47" s="321">
        <v>3113.86</v>
      </c>
      <c r="K47" s="321">
        <v>2283.7199999999998</v>
      </c>
      <c r="L47" s="321">
        <v>2209.2600000000002</v>
      </c>
      <c r="M47" s="321">
        <v>2222.87</v>
      </c>
      <c r="N47" s="321">
        <f t="shared" si="18"/>
        <v>32835.390000000007</v>
      </c>
      <c r="O47" s="328"/>
      <c r="P47" s="322">
        <f t="shared" si="19"/>
        <v>32835.390000000007</v>
      </c>
      <c r="Q47" s="322">
        <f>-P47*'Drive Hours Recap'!$L$34</f>
        <v>-17155.740979294915</v>
      </c>
      <c r="R47" s="322">
        <f t="shared" si="20"/>
        <v>15679.649020705092</v>
      </c>
      <c r="S47" s="322">
        <f t="shared" si="28"/>
        <v>0</v>
      </c>
      <c r="T47" s="322">
        <f t="shared" si="21"/>
        <v>15679.649020705092</v>
      </c>
      <c r="U47" s="322"/>
      <c r="V47" s="322">
        <f t="shared" si="22"/>
        <v>15679.649020705092</v>
      </c>
      <c r="W47" s="328"/>
      <c r="X47" s="322">
        <f t="shared" si="23"/>
        <v>15679.649020705092</v>
      </c>
      <c r="Y47" s="322"/>
      <c r="Z47" s="322"/>
      <c r="AA47" s="322">
        <f t="shared" si="24"/>
        <v>15679.649020705092</v>
      </c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>
        <f t="shared" si="25"/>
        <v>0</v>
      </c>
      <c r="AM47" s="328"/>
      <c r="AN47" s="322"/>
      <c r="AO47" s="322"/>
      <c r="AP47" s="322"/>
      <c r="AQ47" s="322"/>
      <c r="AR47" s="322"/>
      <c r="AS47" s="322"/>
      <c r="AT47" s="322"/>
      <c r="AU47" s="322">
        <f t="shared" si="26"/>
        <v>0</v>
      </c>
      <c r="AV47" s="322"/>
      <c r="AW47" s="322"/>
    </row>
    <row r="48" spans="1:49" ht="15">
      <c r="A48" s="320" t="s">
        <v>476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8"/>
      <c r="P48" s="322">
        <v>2980</v>
      </c>
      <c r="Q48" s="322">
        <f>-P48*'Drive Hours Recap'!$L$34</f>
        <v>-1556.9819063607538</v>
      </c>
      <c r="R48" s="322">
        <f t="shared" si="20"/>
        <v>1423.0180936392462</v>
      </c>
      <c r="S48" s="322">
        <f>-R48</f>
        <v>-1423.0180936392462</v>
      </c>
      <c r="T48" s="322">
        <f t="shared" ref="T48" si="29">+R48+S48</f>
        <v>0</v>
      </c>
      <c r="U48" s="322"/>
      <c r="V48" s="322">
        <f t="shared" ref="V48" si="30">+T48+U48</f>
        <v>0</v>
      </c>
      <c r="W48" s="328"/>
      <c r="X48" s="322">
        <f t="shared" si="23"/>
        <v>0</v>
      </c>
      <c r="Y48" s="322"/>
      <c r="Z48" s="322"/>
      <c r="AA48" s="322">
        <f t="shared" si="24"/>
        <v>0</v>
      </c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8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</row>
    <row r="49" spans="1:49" ht="15">
      <c r="A49" s="320" t="s">
        <v>295</v>
      </c>
      <c r="B49" s="321">
        <v>0</v>
      </c>
      <c r="C49" s="321">
        <v>0</v>
      </c>
      <c r="D49" s="321">
        <v>0</v>
      </c>
      <c r="E49" s="321">
        <v>0</v>
      </c>
      <c r="F49" s="321">
        <v>0</v>
      </c>
      <c r="G49" s="321">
        <v>0</v>
      </c>
      <c r="H49" s="321">
        <v>0</v>
      </c>
      <c r="I49" s="321">
        <v>0</v>
      </c>
      <c r="J49" s="321">
        <v>0</v>
      </c>
      <c r="K49" s="321">
        <v>0</v>
      </c>
      <c r="L49" s="321">
        <v>0</v>
      </c>
      <c r="M49" s="321">
        <v>0</v>
      </c>
      <c r="N49" s="321">
        <f t="shared" si="18"/>
        <v>0</v>
      </c>
      <c r="O49" s="328"/>
      <c r="P49" s="322">
        <f t="shared" si="19"/>
        <v>0</v>
      </c>
      <c r="Q49" s="322">
        <f t="shared" ref="Q49" si="31">+AL49</f>
        <v>0</v>
      </c>
      <c r="R49" s="322">
        <f t="shared" si="20"/>
        <v>0</v>
      </c>
      <c r="S49" s="322">
        <f>+AU49</f>
        <v>0</v>
      </c>
      <c r="T49" s="322">
        <f t="shared" si="21"/>
        <v>0</v>
      </c>
      <c r="U49" s="322"/>
      <c r="V49" s="322">
        <f t="shared" si="22"/>
        <v>0</v>
      </c>
      <c r="W49" s="328"/>
      <c r="X49" s="322">
        <f t="shared" si="23"/>
        <v>0</v>
      </c>
      <c r="Y49" s="322"/>
      <c r="Z49" s="322"/>
      <c r="AA49" s="322">
        <f t="shared" si="24"/>
        <v>0</v>
      </c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>
        <f t="shared" si="25"/>
        <v>0</v>
      </c>
      <c r="AM49" s="328"/>
      <c r="AN49" s="322"/>
      <c r="AO49" s="322"/>
      <c r="AP49" s="322"/>
      <c r="AQ49" s="322"/>
      <c r="AR49" s="322"/>
      <c r="AS49" s="322"/>
      <c r="AT49" s="322"/>
      <c r="AU49" s="322">
        <f t="shared" si="26"/>
        <v>0</v>
      </c>
      <c r="AV49" s="322"/>
      <c r="AW49" s="322"/>
    </row>
    <row r="50" spans="1:49" ht="15">
      <c r="A50" s="320" t="s">
        <v>508</v>
      </c>
      <c r="B50" s="321"/>
      <c r="C50" s="321"/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8"/>
      <c r="P50" s="322"/>
      <c r="Q50" s="322"/>
      <c r="R50" s="322"/>
      <c r="S50" s="322"/>
      <c r="T50" s="322">
        <f t="shared" ref="T50" si="32">+R50+S50</f>
        <v>0</v>
      </c>
      <c r="U50" s="322"/>
      <c r="V50" s="322">
        <f t="shared" ref="V50" si="33">+T50+U50</f>
        <v>0</v>
      </c>
      <c r="W50" s="328"/>
      <c r="X50" s="322">
        <f>2100*0.5</f>
        <v>1050</v>
      </c>
      <c r="Y50" s="322"/>
      <c r="Z50" s="322"/>
      <c r="AA50" s="322">
        <f t="shared" si="24"/>
        <v>1050</v>
      </c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8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</row>
    <row r="51" spans="1:49" ht="15">
      <c r="A51" s="305"/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8"/>
      <c r="P51" s="322"/>
      <c r="Q51" s="322"/>
      <c r="R51" s="322"/>
      <c r="S51" s="322"/>
      <c r="T51" s="322"/>
      <c r="U51" s="322"/>
      <c r="V51" s="322"/>
      <c r="W51" s="328"/>
      <c r="X51" s="322">
        <f t="shared" si="23"/>
        <v>0</v>
      </c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8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</row>
    <row r="52" spans="1:49" ht="15">
      <c r="A52" s="554" t="s">
        <v>296</v>
      </c>
      <c r="B52" s="321">
        <f>SUM(B21:B51)</f>
        <v>24847.709999999995</v>
      </c>
      <c r="C52" s="321">
        <f t="shared" ref="C52:M52" si="34">SUM(C21:C51)</f>
        <v>32120.409999999996</v>
      </c>
      <c r="D52" s="321">
        <f t="shared" si="34"/>
        <v>21166.43</v>
      </c>
      <c r="E52" s="321">
        <f t="shared" si="34"/>
        <v>36539.449999999997</v>
      </c>
      <c r="F52" s="321">
        <f t="shared" si="34"/>
        <v>29305.939999999995</v>
      </c>
      <c r="G52" s="321">
        <f t="shared" si="34"/>
        <v>32222.47</v>
      </c>
      <c r="H52" s="321">
        <f t="shared" si="34"/>
        <v>37237.500000000007</v>
      </c>
      <c r="I52" s="321">
        <f t="shared" si="34"/>
        <v>45163.839999999997</v>
      </c>
      <c r="J52" s="321">
        <f t="shared" si="34"/>
        <v>40202.74</v>
      </c>
      <c r="K52" s="321">
        <f t="shared" si="34"/>
        <v>35711.730000000003</v>
      </c>
      <c r="L52" s="321">
        <f t="shared" si="34"/>
        <v>29366.300000000003</v>
      </c>
      <c r="M52" s="321">
        <f t="shared" si="34"/>
        <v>27922.270000000004</v>
      </c>
      <c r="N52" s="321">
        <f t="shared" si="18"/>
        <v>391806.79</v>
      </c>
      <c r="O52" s="328"/>
      <c r="P52" s="551">
        <f t="shared" ref="P52:V52" si="35">SUM(P21:P51)</f>
        <v>415287.78999999992</v>
      </c>
      <c r="Q52" s="552">
        <f t="shared" si="35"/>
        <v>-215811.65841793388</v>
      </c>
      <c r="R52" s="552">
        <f t="shared" si="35"/>
        <v>199476.13158206613</v>
      </c>
      <c r="S52" s="552">
        <f t="shared" si="35"/>
        <v>42926.182789644736</v>
      </c>
      <c r="T52" s="552">
        <f t="shared" si="35"/>
        <v>242402.31437171091</v>
      </c>
      <c r="U52" s="552">
        <f t="shared" si="35"/>
        <v>0</v>
      </c>
      <c r="V52" s="553">
        <f t="shared" si="35"/>
        <v>242402.31437171091</v>
      </c>
      <c r="W52" s="328"/>
      <c r="X52" s="552">
        <f t="shared" ref="X52:AA52" si="36">SUM(X21:X51)</f>
        <v>243452.31437171091</v>
      </c>
      <c r="Y52" s="552"/>
      <c r="Z52" s="552">
        <f t="shared" ca="1" si="36"/>
        <v>8745.022432060543</v>
      </c>
      <c r="AA52" s="553">
        <f t="shared" ca="1" si="36"/>
        <v>395054.48240922648</v>
      </c>
      <c r="AB52" s="568"/>
      <c r="AC52" s="321">
        <f t="shared" ref="AC52:AL52" si="37">SUM(AC21:AC51)</f>
        <v>0</v>
      </c>
      <c r="AD52" s="321">
        <f t="shared" si="37"/>
        <v>0</v>
      </c>
      <c r="AE52" s="321">
        <f t="shared" si="37"/>
        <v>0</v>
      </c>
      <c r="AF52" s="321"/>
      <c r="AG52" s="321">
        <f t="shared" si="37"/>
        <v>0</v>
      </c>
      <c r="AH52" s="321">
        <f t="shared" si="37"/>
        <v>0</v>
      </c>
      <c r="AI52" s="321">
        <f t="shared" si="37"/>
        <v>0</v>
      </c>
      <c r="AJ52" s="321">
        <f t="shared" si="37"/>
        <v>0</v>
      </c>
      <c r="AK52" s="321">
        <f t="shared" si="37"/>
        <v>0</v>
      </c>
      <c r="AL52" s="321">
        <f t="shared" si="37"/>
        <v>0</v>
      </c>
      <c r="AM52" s="328"/>
      <c r="AN52" s="321">
        <f t="shared" ref="AN52:AU52" si="38">SUM(AN21:AN51)</f>
        <v>0</v>
      </c>
      <c r="AO52" s="321">
        <f t="shared" si="38"/>
        <v>0</v>
      </c>
      <c r="AP52" s="321">
        <f t="shared" si="38"/>
        <v>0</v>
      </c>
      <c r="AQ52" s="321">
        <f t="shared" si="38"/>
        <v>0</v>
      </c>
      <c r="AR52" s="321">
        <f t="shared" si="38"/>
        <v>0</v>
      </c>
      <c r="AS52" s="321">
        <f t="shared" si="38"/>
        <v>0</v>
      </c>
      <c r="AT52" s="321">
        <f t="shared" si="38"/>
        <v>0</v>
      </c>
      <c r="AU52" s="321">
        <f t="shared" si="38"/>
        <v>0</v>
      </c>
      <c r="AV52" s="322"/>
      <c r="AW52" s="322"/>
    </row>
    <row r="53" spans="1:49" ht="15">
      <c r="A53" s="305"/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8"/>
      <c r="P53" s="321"/>
      <c r="Q53" s="321"/>
      <c r="R53" s="321"/>
      <c r="S53" s="321"/>
      <c r="T53" s="321"/>
      <c r="U53" s="321"/>
      <c r="V53" s="321"/>
      <c r="W53" s="328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  <c r="AK53" s="321"/>
      <c r="AL53" s="321"/>
      <c r="AM53" s="328"/>
      <c r="AN53" s="321"/>
      <c r="AO53" s="321"/>
      <c r="AP53" s="321"/>
      <c r="AQ53" s="321"/>
      <c r="AR53" s="321"/>
      <c r="AS53" s="321"/>
      <c r="AT53" s="321"/>
      <c r="AU53" s="321"/>
      <c r="AV53" s="322"/>
      <c r="AW53" s="322"/>
    </row>
    <row r="54" spans="1:49" ht="15">
      <c r="A54" s="555" t="s">
        <v>34</v>
      </c>
      <c r="B54" s="326">
        <f>+B18-B52</f>
        <v>-9575.389999999994</v>
      </c>
      <c r="C54" s="326">
        <f t="shared" ref="C54:N54" si="39">+C18-C52</f>
        <v>-4580.82</v>
      </c>
      <c r="D54" s="326">
        <f t="shared" si="39"/>
        <v>3526.619999999999</v>
      </c>
      <c r="E54" s="326">
        <f t="shared" si="39"/>
        <v>-1735.5899999999965</v>
      </c>
      <c r="F54" s="326">
        <f t="shared" si="39"/>
        <v>3513.3800000000047</v>
      </c>
      <c r="G54" s="326">
        <f t="shared" si="39"/>
        <v>8942.6900000000023</v>
      </c>
      <c r="H54" s="326">
        <f t="shared" si="39"/>
        <v>7085.419999999991</v>
      </c>
      <c r="I54" s="326">
        <f t="shared" si="39"/>
        <v>-367.19999999999709</v>
      </c>
      <c r="J54" s="326">
        <f t="shared" si="39"/>
        <v>4967.0800000000017</v>
      </c>
      <c r="K54" s="326">
        <f t="shared" si="39"/>
        <v>3592.7599999999948</v>
      </c>
      <c r="L54" s="326">
        <f t="shared" si="39"/>
        <v>-3524.4800000000032</v>
      </c>
      <c r="M54" s="326">
        <f t="shared" si="39"/>
        <v>1959.6199999999953</v>
      </c>
      <c r="N54" s="326">
        <f t="shared" si="39"/>
        <v>13804.090000000026</v>
      </c>
      <c r="O54" s="328"/>
      <c r="P54" s="548">
        <f t="shared" ref="P54:V54" si="40">+P18-P52</f>
        <v>-9676.9099999999162</v>
      </c>
      <c r="Q54" s="549">
        <f t="shared" si="40"/>
        <v>31079.178417933872</v>
      </c>
      <c r="R54" s="549">
        <f t="shared" si="40"/>
        <v>21402.268417933898</v>
      </c>
      <c r="S54" s="549">
        <f t="shared" si="40"/>
        <v>-42926.182789644736</v>
      </c>
      <c r="T54" s="549">
        <f t="shared" si="40"/>
        <v>-21523.914371710882</v>
      </c>
      <c r="U54" s="549">
        <f t="shared" ca="1" si="40"/>
        <v>33499.86461804821</v>
      </c>
      <c r="V54" s="550">
        <f t="shared" ca="1" si="40"/>
        <v>11975.950246337306</v>
      </c>
      <c r="W54" s="328"/>
      <c r="X54" s="549">
        <f t="shared" ref="X54:AA54" ca="1" si="41">+X18-X52</f>
        <v>10925.950246337306</v>
      </c>
      <c r="Y54" s="549"/>
      <c r="Z54" s="549">
        <f t="shared" ca="1" si="41"/>
        <v>-155206.43297357421</v>
      </c>
      <c r="AA54" s="550">
        <f t="shared" ca="1" si="41"/>
        <v>260899.66047935782</v>
      </c>
      <c r="AB54" s="569"/>
      <c r="AC54" s="326">
        <f t="shared" ref="AC54:AL54" si="42">+AC18-AC52</f>
        <v>0</v>
      </c>
      <c r="AD54" s="326">
        <f t="shared" si="42"/>
        <v>0</v>
      </c>
      <c r="AE54" s="326">
        <f t="shared" si="42"/>
        <v>0</v>
      </c>
      <c r="AF54" s="326"/>
      <c r="AG54" s="326">
        <f t="shared" si="42"/>
        <v>0</v>
      </c>
      <c r="AH54" s="326">
        <f t="shared" si="42"/>
        <v>0</v>
      </c>
      <c r="AI54" s="326">
        <f t="shared" si="42"/>
        <v>0</v>
      </c>
      <c r="AJ54" s="326">
        <f t="shared" si="42"/>
        <v>0</v>
      </c>
      <c r="AK54" s="326">
        <f t="shared" si="42"/>
        <v>0</v>
      </c>
      <c r="AL54" s="326">
        <f t="shared" si="42"/>
        <v>0</v>
      </c>
      <c r="AM54" s="328"/>
      <c r="AN54" s="326">
        <f t="shared" ref="AN54:AU54" si="43">+AN18-AN52</f>
        <v>0</v>
      </c>
      <c r="AO54" s="326">
        <f t="shared" si="43"/>
        <v>0</v>
      </c>
      <c r="AP54" s="326">
        <f t="shared" si="43"/>
        <v>0</v>
      </c>
      <c r="AQ54" s="326">
        <f t="shared" si="43"/>
        <v>0</v>
      </c>
      <c r="AR54" s="326">
        <f t="shared" si="43"/>
        <v>0</v>
      </c>
      <c r="AS54" s="326">
        <f t="shared" si="43"/>
        <v>0</v>
      </c>
      <c r="AT54" s="326">
        <f t="shared" si="43"/>
        <v>0</v>
      </c>
      <c r="AU54" s="326">
        <f t="shared" si="43"/>
        <v>0</v>
      </c>
      <c r="AV54" s="322"/>
      <c r="AW54" s="322"/>
    </row>
    <row r="55" spans="1:49">
      <c r="A55" s="320"/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30"/>
    </row>
    <row r="56" spans="1:49">
      <c r="A56" s="305"/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Q56" s="323">
        <f>SUM(Q21:Q49)+'Garbage Adj.'!E38+'Recycling Adj.'!E38</f>
        <v>-223733.51338986476</v>
      </c>
    </row>
    <row r="57" spans="1:49">
      <c r="A57" s="325"/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 t="s">
        <v>500</v>
      </c>
      <c r="M57" s="331"/>
      <c r="N57" s="12">
        <f>N29/N26</f>
        <v>0.15441579169037861</v>
      </c>
      <c r="P57" s="323"/>
    </row>
    <row r="58" spans="1:49">
      <c r="A58" s="305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</row>
    <row r="59" spans="1:49">
      <c r="A59" s="305"/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</row>
    <row r="60" spans="1:49">
      <c r="A60" s="325"/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</row>
  </sheetData>
  <pageMargins left="0.7" right="0.7" top="0.75" bottom="0.75" header="0.3" footer="0.3"/>
  <pageSetup scale="80" orientation="landscape" r:id="rId1"/>
  <colBreaks count="2" manualBreakCount="2">
    <brk id="14" max="1048575" man="1"/>
    <brk id="28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46"/>
  <sheetViews>
    <sheetView topLeftCell="E23" zoomScaleNormal="100" workbookViewId="0">
      <selection activeCell="R42" sqref="R42"/>
    </sheetView>
  </sheetViews>
  <sheetFormatPr defaultColWidth="8.88671875" defaultRowHeight="12.75"/>
  <cols>
    <col min="1" max="1" width="3.21875" style="303" customWidth="1"/>
    <col min="2" max="2" width="8.88671875" style="303"/>
    <col min="3" max="3" width="24.77734375" style="303" customWidth="1"/>
    <col min="4" max="4" width="29.109375" style="303" customWidth="1"/>
    <col min="5" max="5" width="6.33203125" style="303" customWidth="1"/>
    <col min="6" max="6" width="12.21875" style="303" customWidth="1"/>
    <col min="7" max="7" width="6.5546875" style="303" customWidth="1"/>
    <col min="8" max="8" width="8.88671875" style="303"/>
    <col min="9" max="9" width="13.109375" style="303" customWidth="1"/>
    <col min="10" max="10" width="11.88671875" style="303" customWidth="1"/>
    <col min="11" max="14" width="9.33203125" style="303" customWidth="1"/>
    <col min="15" max="15" width="10.77734375" style="303" customWidth="1"/>
    <col min="16" max="16" width="10.21875" style="303" customWidth="1"/>
    <col min="17" max="17" width="10.77734375" style="303" customWidth="1"/>
    <col min="18" max="16384" width="8.88671875" style="303"/>
  </cols>
  <sheetData>
    <row r="1" spans="1:17">
      <c r="A1" s="303" t="s">
        <v>359</v>
      </c>
    </row>
    <row r="2" spans="1:17">
      <c r="A2" s="303">
        <v>2019</v>
      </c>
    </row>
    <row r="3" spans="1:17">
      <c r="A3" s="383" t="s">
        <v>392</v>
      </c>
    </row>
    <row r="5" spans="1:17" ht="15.75" customHeight="1">
      <c r="G5" s="696" t="s">
        <v>387</v>
      </c>
      <c r="H5" s="428" t="s">
        <v>299</v>
      </c>
      <c r="K5" s="693"/>
      <c r="L5" s="693"/>
      <c r="M5" s="694" t="s">
        <v>254</v>
      </c>
      <c r="N5" s="695"/>
      <c r="P5" s="694" t="s">
        <v>391</v>
      </c>
      <c r="Q5" s="695"/>
    </row>
    <row r="6" spans="1:17" ht="15">
      <c r="B6" s="375"/>
      <c r="C6" s="376" t="s">
        <v>346</v>
      </c>
      <c r="D6" s="377" t="s">
        <v>363</v>
      </c>
      <c r="E6" s="378" t="s">
        <v>386</v>
      </c>
      <c r="F6" s="378" t="s">
        <v>103</v>
      </c>
      <c r="G6" s="697"/>
      <c r="H6" s="376" t="s">
        <v>389</v>
      </c>
      <c r="I6" s="376" t="s">
        <v>468</v>
      </c>
      <c r="J6" s="376" t="s">
        <v>390</v>
      </c>
      <c r="K6" s="376" t="s">
        <v>297</v>
      </c>
      <c r="L6" s="376" t="s">
        <v>298</v>
      </c>
      <c r="M6" s="376" t="s">
        <v>297</v>
      </c>
      <c r="N6" s="376" t="s">
        <v>298</v>
      </c>
      <c r="O6" s="376" t="s">
        <v>391</v>
      </c>
      <c r="P6" s="376" t="s">
        <v>297</v>
      </c>
      <c r="Q6" s="379" t="s">
        <v>298</v>
      </c>
    </row>
    <row r="7" spans="1:17" ht="15">
      <c r="B7" s="380"/>
      <c r="C7" s="377" t="s">
        <v>347</v>
      </c>
      <c r="D7" s="377" t="s">
        <v>347</v>
      </c>
      <c r="E7" s="377" t="s">
        <v>384</v>
      </c>
      <c r="F7" s="381" t="s">
        <v>385</v>
      </c>
      <c r="G7" s="377" t="s">
        <v>384</v>
      </c>
      <c r="H7" s="377" t="s">
        <v>388</v>
      </c>
      <c r="I7" s="377" t="s">
        <v>76</v>
      </c>
      <c r="J7" s="377" t="s">
        <v>254</v>
      </c>
      <c r="K7" s="377" t="s">
        <v>388</v>
      </c>
      <c r="L7" s="377" t="s">
        <v>388</v>
      </c>
      <c r="M7" s="377"/>
      <c r="N7" s="377"/>
      <c r="O7" s="377"/>
      <c r="P7" s="377"/>
      <c r="Q7" s="382"/>
    </row>
    <row r="8" spans="1:17" ht="15">
      <c r="B8" s="384" t="s">
        <v>360</v>
      </c>
      <c r="C8" s="384" t="s">
        <v>348</v>
      </c>
      <c r="D8" s="384" t="s">
        <v>364</v>
      </c>
      <c r="E8" s="422">
        <v>2019</v>
      </c>
      <c r="F8" s="423">
        <v>50000</v>
      </c>
      <c r="G8" s="384">
        <v>5</v>
      </c>
      <c r="H8" s="424">
        <v>1</v>
      </c>
      <c r="I8" s="423">
        <f>F8*H8</f>
        <v>50000</v>
      </c>
      <c r="J8" s="423">
        <f>F8/G8</f>
        <v>10000</v>
      </c>
      <c r="K8" s="425">
        <v>1</v>
      </c>
      <c r="L8" s="426">
        <v>0</v>
      </c>
      <c r="M8" s="417">
        <f>J8*K8</f>
        <v>10000</v>
      </c>
      <c r="N8" s="417">
        <f>J8*L8</f>
        <v>0</v>
      </c>
      <c r="O8" s="417">
        <f>I8-(($A$2-E8)*J8)</f>
        <v>50000</v>
      </c>
      <c r="P8" s="417">
        <f>K8*O8</f>
        <v>50000</v>
      </c>
      <c r="Q8" s="427">
        <f>O8*L8</f>
        <v>0</v>
      </c>
    </row>
    <row r="9" spans="1:17" ht="15">
      <c r="B9" s="384" t="s">
        <v>360</v>
      </c>
      <c r="C9" s="384" t="s">
        <v>348</v>
      </c>
      <c r="D9" s="384" t="s">
        <v>365</v>
      </c>
      <c r="E9" s="422">
        <v>2019</v>
      </c>
      <c r="F9" s="423">
        <v>29000</v>
      </c>
      <c r="G9" s="384">
        <v>5</v>
      </c>
      <c r="H9" s="424">
        <v>1</v>
      </c>
      <c r="I9" s="423">
        <f t="shared" ref="I9:I28" si="0">F9*H9</f>
        <v>29000</v>
      </c>
      <c r="J9" s="423">
        <f t="shared" ref="J9:J28" si="1">F9/G9</f>
        <v>5800</v>
      </c>
      <c r="K9" s="425">
        <v>0</v>
      </c>
      <c r="L9" s="426">
        <v>1</v>
      </c>
      <c r="M9" s="417">
        <f t="shared" ref="M9:M28" si="2">J9*K9</f>
        <v>0</v>
      </c>
      <c r="N9" s="417">
        <f t="shared" ref="N9:N28" si="3">J9*L9</f>
        <v>5800</v>
      </c>
      <c r="O9" s="417">
        <f t="shared" ref="O9:O28" si="4">I9-(($A$2-E9)*J9)</f>
        <v>29000</v>
      </c>
      <c r="P9" s="417">
        <f t="shared" ref="P9:P28" si="5">K9*O9</f>
        <v>0</v>
      </c>
      <c r="Q9" s="427">
        <f t="shared" ref="Q9:Q28" si="6">O9*L9</f>
        <v>29000</v>
      </c>
    </row>
    <row r="10" spans="1:17" ht="15">
      <c r="B10" s="371" t="s">
        <v>361</v>
      </c>
      <c r="C10" s="371" t="s">
        <v>349</v>
      </c>
      <c r="D10" s="371" t="s">
        <v>366</v>
      </c>
      <c r="E10" s="372">
        <v>2017</v>
      </c>
      <c r="F10" s="373">
        <v>6832</v>
      </c>
      <c r="G10" s="371">
        <v>5</v>
      </c>
      <c r="H10" s="374">
        <v>1</v>
      </c>
      <c r="I10" s="373">
        <f t="shared" si="0"/>
        <v>6832</v>
      </c>
      <c r="J10" s="373">
        <f t="shared" si="1"/>
        <v>1366.4</v>
      </c>
      <c r="K10" s="419">
        <f>'Drive Hours Recap'!$E$24</f>
        <v>0.72269524368761007</v>
      </c>
      <c r="L10" s="415">
        <f>'Drive Hours Recap'!$E$25</f>
        <v>0.27730475631238988</v>
      </c>
      <c r="M10" s="418">
        <f t="shared" si="2"/>
        <v>987.49078097475046</v>
      </c>
      <c r="N10" s="416">
        <f t="shared" si="3"/>
        <v>378.90921902524957</v>
      </c>
      <c r="O10" s="416">
        <f t="shared" si="4"/>
        <v>4099.2</v>
      </c>
      <c r="P10" s="418">
        <f t="shared" si="5"/>
        <v>2962.4723429242513</v>
      </c>
      <c r="Q10" s="420">
        <f t="shared" si="6"/>
        <v>1136.7276570757485</v>
      </c>
    </row>
    <row r="11" spans="1:17" ht="15">
      <c r="B11" s="371" t="s">
        <v>361</v>
      </c>
      <c r="C11" s="371" t="s">
        <v>349</v>
      </c>
      <c r="D11" s="371" t="s">
        <v>367</v>
      </c>
      <c r="E11" s="372">
        <v>2018</v>
      </c>
      <c r="F11" s="373">
        <v>16000</v>
      </c>
      <c r="G11" s="371">
        <v>5</v>
      </c>
      <c r="H11" s="374">
        <v>1</v>
      </c>
      <c r="I11" s="373">
        <f t="shared" si="0"/>
        <v>16000</v>
      </c>
      <c r="J11" s="373">
        <f t="shared" si="1"/>
        <v>3200</v>
      </c>
      <c r="K11" s="419">
        <v>0</v>
      </c>
      <c r="L11" s="415">
        <v>1</v>
      </c>
      <c r="M11" s="418">
        <f t="shared" si="2"/>
        <v>0</v>
      </c>
      <c r="N11" s="416">
        <f t="shared" si="3"/>
        <v>3200</v>
      </c>
      <c r="O11" s="416">
        <f t="shared" si="4"/>
        <v>12800</v>
      </c>
      <c r="P11" s="418">
        <f t="shared" si="5"/>
        <v>0</v>
      </c>
      <c r="Q11" s="420">
        <f t="shared" si="6"/>
        <v>12800</v>
      </c>
    </row>
    <row r="12" spans="1:17" ht="15">
      <c r="B12" s="384" t="s">
        <v>360</v>
      </c>
      <c r="C12" s="384" t="s">
        <v>349</v>
      </c>
      <c r="D12" s="384" t="s">
        <v>368</v>
      </c>
      <c r="E12" s="422">
        <v>2019</v>
      </c>
      <c r="F12" s="423">
        <v>50000</v>
      </c>
      <c r="G12" s="384">
        <v>5</v>
      </c>
      <c r="H12" s="424">
        <v>1</v>
      </c>
      <c r="I12" s="423">
        <f t="shared" si="0"/>
        <v>50000</v>
      </c>
      <c r="J12" s="423">
        <f t="shared" si="1"/>
        <v>10000</v>
      </c>
      <c r="K12" s="425">
        <v>0</v>
      </c>
      <c r="L12" s="426">
        <v>1</v>
      </c>
      <c r="M12" s="417">
        <f t="shared" si="2"/>
        <v>0</v>
      </c>
      <c r="N12" s="417">
        <f t="shared" si="3"/>
        <v>10000</v>
      </c>
      <c r="O12" s="417">
        <f t="shared" si="4"/>
        <v>50000</v>
      </c>
      <c r="P12" s="417">
        <f t="shared" si="5"/>
        <v>0</v>
      </c>
      <c r="Q12" s="427">
        <f t="shared" si="6"/>
        <v>50000</v>
      </c>
    </row>
    <row r="13" spans="1:17" ht="15">
      <c r="B13" s="384" t="s">
        <v>362</v>
      </c>
      <c r="C13" s="384" t="s">
        <v>349</v>
      </c>
      <c r="D13" s="384" t="s">
        <v>369</v>
      </c>
      <c r="E13" s="422">
        <v>2019</v>
      </c>
      <c r="F13" s="423">
        <v>15000</v>
      </c>
      <c r="G13" s="384">
        <v>5</v>
      </c>
      <c r="H13" s="424">
        <v>1</v>
      </c>
      <c r="I13" s="423">
        <f t="shared" si="0"/>
        <v>15000</v>
      </c>
      <c r="J13" s="423">
        <f t="shared" si="1"/>
        <v>3000</v>
      </c>
      <c r="K13" s="425">
        <f>'Drive Hours Recap'!$E$24</f>
        <v>0.72269524368761007</v>
      </c>
      <c r="L13" s="426">
        <f>'Drive Hours Recap'!$E$25</f>
        <v>0.27730475631238988</v>
      </c>
      <c r="M13" s="417">
        <f t="shared" si="2"/>
        <v>2168.0857310628303</v>
      </c>
      <c r="N13" s="417">
        <f t="shared" si="3"/>
        <v>831.9142689371696</v>
      </c>
      <c r="O13" s="417">
        <f t="shared" si="4"/>
        <v>15000</v>
      </c>
      <c r="P13" s="417">
        <f t="shared" si="5"/>
        <v>10840.428655314152</v>
      </c>
      <c r="Q13" s="427">
        <f t="shared" si="6"/>
        <v>4159.5713446858481</v>
      </c>
    </row>
    <row r="14" spans="1:17" ht="15">
      <c r="B14" s="384" t="s">
        <v>362</v>
      </c>
      <c r="C14" s="384" t="s">
        <v>350</v>
      </c>
      <c r="D14" s="384" t="s">
        <v>370</v>
      </c>
      <c r="E14" s="422">
        <v>2018</v>
      </c>
      <c r="F14" s="423">
        <v>4000</v>
      </c>
      <c r="G14" s="384">
        <v>5</v>
      </c>
      <c r="H14" s="424">
        <v>1</v>
      </c>
      <c r="I14" s="423">
        <f t="shared" si="0"/>
        <v>4000</v>
      </c>
      <c r="J14" s="423">
        <f t="shared" si="1"/>
        <v>800</v>
      </c>
      <c r="K14" s="425">
        <v>1</v>
      </c>
      <c r="L14" s="426">
        <v>0</v>
      </c>
      <c r="M14" s="417">
        <f t="shared" si="2"/>
        <v>800</v>
      </c>
      <c r="N14" s="417">
        <f t="shared" si="3"/>
        <v>0</v>
      </c>
      <c r="O14" s="417">
        <f t="shared" si="4"/>
        <v>3200</v>
      </c>
      <c r="P14" s="417">
        <f t="shared" si="5"/>
        <v>3200</v>
      </c>
      <c r="Q14" s="427">
        <f t="shared" si="6"/>
        <v>0</v>
      </c>
    </row>
    <row r="15" spans="1:17" ht="15">
      <c r="B15" s="371" t="s">
        <v>361</v>
      </c>
      <c r="C15" s="371" t="s">
        <v>351</v>
      </c>
      <c r="D15" s="371" t="s">
        <v>371</v>
      </c>
      <c r="E15" s="372">
        <v>2017</v>
      </c>
      <c r="F15" s="373">
        <v>3500</v>
      </c>
      <c r="G15" s="371">
        <v>5</v>
      </c>
      <c r="H15" s="374">
        <v>1</v>
      </c>
      <c r="I15" s="373">
        <f t="shared" si="0"/>
        <v>3500</v>
      </c>
      <c r="J15" s="373">
        <f t="shared" si="1"/>
        <v>700</v>
      </c>
      <c r="K15" s="419">
        <v>1</v>
      </c>
      <c r="L15" s="415">
        <v>0</v>
      </c>
      <c r="M15" s="418">
        <f t="shared" si="2"/>
        <v>700</v>
      </c>
      <c r="N15" s="416">
        <f t="shared" si="3"/>
        <v>0</v>
      </c>
      <c r="O15" s="416">
        <f t="shared" si="4"/>
        <v>2100</v>
      </c>
      <c r="P15" s="418">
        <f t="shared" si="5"/>
        <v>2100</v>
      </c>
      <c r="Q15" s="420">
        <f t="shared" si="6"/>
        <v>0</v>
      </c>
    </row>
    <row r="16" spans="1:17" ht="15">
      <c r="B16" s="371" t="s">
        <v>362</v>
      </c>
      <c r="C16" s="371" t="s">
        <v>350</v>
      </c>
      <c r="D16" s="371" t="s">
        <v>372</v>
      </c>
      <c r="E16" s="372">
        <v>2019</v>
      </c>
      <c r="F16" s="373">
        <v>20000</v>
      </c>
      <c r="G16" s="371">
        <v>5</v>
      </c>
      <c r="H16" s="374">
        <v>1</v>
      </c>
      <c r="I16" s="373">
        <f t="shared" si="0"/>
        <v>20000</v>
      </c>
      <c r="J16" s="373">
        <f t="shared" si="1"/>
        <v>4000</v>
      </c>
      <c r="K16" s="419">
        <v>1</v>
      </c>
      <c r="L16" s="415">
        <v>0</v>
      </c>
      <c r="M16" s="418">
        <f t="shared" si="2"/>
        <v>4000</v>
      </c>
      <c r="N16" s="416">
        <f t="shared" si="3"/>
        <v>0</v>
      </c>
      <c r="O16" s="416">
        <f t="shared" si="4"/>
        <v>20000</v>
      </c>
      <c r="P16" s="418">
        <f t="shared" si="5"/>
        <v>20000</v>
      </c>
      <c r="Q16" s="420">
        <f t="shared" si="6"/>
        <v>0</v>
      </c>
    </row>
    <row r="17" spans="1:18" ht="15">
      <c r="B17" s="463" t="s">
        <v>360</v>
      </c>
      <c r="C17" s="463" t="s">
        <v>352</v>
      </c>
      <c r="D17" s="463" t="s">
        <v>373</v>
      </c>
      <c r="E17" s="464">
        <v>2019</v>
      </c>
      <c r="F17" s="465">
        <v>10000</v>
      </c>
      <c r="G17" s="463">
        <v>3</v>
      </c>
      <c r="H17" s="466">
        <f>'Drive Hours Recap'!L32</f>
        <v>0.47752285021451218</v>
      </c>
      <c r="I17" s="465">
        <f t="shared" si="0"/>
        <v>4775.2285021451216</v>
      </c>
      <c r="J17" s="465">
        <f t="shared" si="1"/>
        <v>3333.3333333333335</v>
      </c>
      <c r="K17" s="467">
        <f>'Drive Hours Recap'!$E$24</f>
        <v>0.72269524368761007</v>
      </c>
      <c r="L17" s="468">
        <f>'Drive Hours Recap'!$E$25</f>
        <v>0.27730475631238988</v>
      </c>
      <c r="M17" s="469">
        <f t="shared" si="2"/>
        <v>2408.9841456253671</v>
      </c>
      <c r="N17" s="469">
        <f t="shared" si="3"/>
        <v>924.34918770796628</v>
      </c>
      <c r="O17" s="469">
        <f t="shared" si="4"/>
        <v>4775.2285021451216</v>
      </c>
      <c r="P17" s="469">
        <f t="shared" si="5"/>
        <v>3451.0349260217899</v>
      </c>
      <c r="Q17" s="470">
        <f t="shared" si="6"/>
        <v>1324.1935761233315</v>
      </c>
      <c r="R17" s="383" t="s">
        <v>483</v>
      </c>
    </row>
    <row r="18" spans="1:18" ht="15">
      <c r="B18" s="463" t="s">
        <v>361</v>
      </c>
      <c r="C18" s="463" t="s">
        <v>352</v>
      </c>
      <c r="D18" s="463" t="s">
        <v>374</v>
      </c>
      <c r="E18" s="464">
        <v>2017</v>
      </c>
      <c r="F18" s="465">
        <v>4395</v>
      </c>
      <c r="G18" s="463">
        <v>3</v>
      </c>
      <c r="H18" s="466">
        <f>'Drive Hours Recap'!L32</f>
        <v>0.47752285021451218</v>
      </c>
      <c r="I18" s="465">
        <f t="shared" si="0"/>
        <v>2098.7129266927809</v>
      </c>
      <c r="J18" s="465">
        <f t="shared" si="1"/>
        <v>1465</v>
      </c>
      <c r="K18" s="467">
        <f>'Drive Hours Recap'!$E$24</f>
        <v>0.72269524368761007</v>
      </c>
      <c r="L18" s="468">
        <f>'Drive Hours Recap'!$E$25</f>
        <v>0.27730475631238988</v>
      </c>
      <c r="M18" s="469">
        <f t="shared" si="2"/>
        <v>1058.7485320023488</v>
      </c>
      <c r="N18" s="469">
        <f t="shared" si="3"/>
        <v>406.25146799765116</v>
      </c>
      <c r="O18" s="469">
        <f>1465</f>
        <v>1465</v>
      </c>
      <c r="P18" s="469">
        <f t="shared" si="5"/>
        <v>1058.7485320023488</v>
      </c>
      <c r="Q18" s="470">
        <f t="shared" si="6"/>
        <v>406.25146799765116</v>
      </c>
      <c r="R18" s="383" t="s">
        <v>483</v>
      </c>
    </row>
    <row r="19" spans="1:18" ht="15">
      <c r="B19" s="448" t="s">
        <v>361</v>
      </c>
      <c r="C19" s="448" t="s">
        <v>353</v>
      </c>
      <c r="D19" s="448" t="s">
        <v>375</v>
      </c>
      <c r="E19" s="449">
        <v>2017</v>
      </c>
      <c r="F19" s="450">
        <v>41848</v>
      </c>
      <c r="G19" s="448">
        <v>5</v>
      </c>
      <c r="H19" s="451"/>
      <c r="I19" s="450"/>
      <c r="J19" s="450"/>
      <c r="K19" s="452"/>
      <c r="L19" s="453"/>
      <c r="M19" s="454"/>
      <c r="N19" s="454"/>
      <c r="O19" s="454"/>
      <c r="P19" s="454"/>
      <c r="Q19" s="455"/>
      <c r="R19" s="383" t="s">
        <v>482</v>
      </c>
    </row>
    <row r="20" spans="1:18" ht="15">
      <c r="B20" s="448" t="s">
        <v>361</v>
      </c>
      <c r="C20" s="448" t="s">
        <v>353</v>
      </c>
      <c r="D20" s="448" t="s">
        <v>376</v>
      </c>
      <c r="E20" s="449">
        <v>2017</v>
      </c>
      <c r="F20" s="450">
        <v>8599</v>
      </c>
      <c r="G20" s="448">
        <v>5</v>
      </c>
      <c r="H20" s="451"/>
      <c r="I20" s="450"/>
      <c r="J20" s="450"/>
      <c r="K20" s="452"/>
      <c r="L20" s="453"/>
      <c r="M20" s="454"/>
      <c r="N20" s="454"/>
      <c r="O20" s="454"/>
      <c r="P20" s="454"/>
      <c r="Q20" s="455"/>
      <c r="R20" s="383" t="s">
        <v>482</v>
      </c>
    </row>
    <row r="21" spans="1:18" ht="15">
      <c r="B21" s="463" t="s">
        <v>361</v>
      </c>
      <c r="C21" s="463" t="s">
        <v>354</v>
      </c>
      <c r="D21" s="463" t="s">
        <v>377</v>
      </c>
      <c r="E21" s="464">
        <v>2017</v>
      </c>
      <c r="F21" s="465">
        <v>1886</v>
      </c>
      <c r="G21" s="463">
        <v>5</v>
      </c>
      <c r="H21" s="466">
        <f>'Drive Hours Recap'!L32</f>
        <v>0.47752285021451218</v>
      </c>
      <c r="I21" s="465">
        <f t="shared" si="0"/>
        <v>900.60809550456997</v>
      </c>
      <c r="J21" s="465">
        <f t="shared" si="1"/>
        <v>377.2</v>
      </c>
      <c r="K21" s="467">
        <f>'Drive Hours Recap'!$E$24</f>
        <v>0.72269524368761007</v>
      </c>
      <c r="L21" s="468">
        <f>'Drive Hours Recap'!$E$25</f>
        <v>0.27730475631238988</v>
      </c>
      <c r="M21" s="469">
        <f t="shared" si="2"/>
        <v>272.60064591896651</v>
      </c>
      <c r="N21" s="469">
        <f t="shared" si="3"/>
        <v>104.59935408103345</v>
      </c>
      <c r="O21" s="469">
        <f t="shared" si="4"/>
        <v>146.20809550457</v>
      </c>
      <c r="P21" s="469">
        <f t="shared" si="5"/>
        <v>105.66389520977658</v>
      </c>
      <c r="Q21" s="470">
        <f t="shared" si="6"/>
        <v>40.544200294793406</v>
      </c>
      <c r="R21" s="383" t="s">
        <v>483</v>
      </c>
    </row>
    <row r="22" spans="1:18" ht="15">
      <c r="B22" s="371" t="s">
        <v>361</v>
      </c>
      <c r="C22" s="371" t="s">
        <v>355</v>
      </c>
      <c r="D22" s="371" t="s">
        <v>378</v>
      </c>
      <c r="E22" s="372">
        <v>2017</v>
      </c>
      <c r="F22" s="373">
        <v>3283</v>
      </c>
      <c r="G22" s="371">
        <v>5</v>
      </c>
      <c r="H22" s="374">
        <v>1</v>
      </c>
      <c r="I22" s="373">
        <f t="shared" si="0"/>
        <v>3283</v>
      </c>
      <c r="J22" s="373">
        <f t="shared" si="1"/>
        <v>656.6</v>
      </c>
      <c r="K22" s="419">
        <v>1</v>
      </c>
      <c r="L22" s="415">
        <v>0</v>
      </c>
      <c r="M22" s="418">
        <f t="shared" si="2"/>
        <v>656.6</v>
      </c>
      <c r="N22" s="416">
        <f t="shared" si="3"/>
        <v>0</v>
      </c>
      <c r="O22" s="416">
        <f t="shared" si="4"/>
        <v>1969.8</v>
      </c>
      <c r="P22" s="418">
        <f t="shared" si="5"/>
        <v>1969.8</v>
      </c>
      <c r="Q22" s="420">
        <f t="shared" si="6"/>
        <v>0</v>
      </c>
    </row>
    <row r="23" spans="1:18" ht="15">
      <c r="A23" s="370"/>
      <c r="B23" s="371" t="s">
        <v>361</v>
      </c>
      <c r="C23" s="371" t="s">
        <v>356</v>
      </c>
      <c r="D23" s="371" t="s">
        <v>379</v>
      </c>
      <c r="E23" s="372">
        <v>2017</v>
      </c>
      <c r="F23" s="373">
        <v>3493</v>
      </c>
      <c r="G23" s="371">
        <v>5</v>
      </c>
      <c r="H23" s="374">
        <v>1</v>
      </c>
      <c r="I23" s="373">
        <f t="shared" si="0"/>
        <v>3493</v>
      </c>
      <c r="J23" s="373">
        <f t="shared" si="1"/>
        <v>698.6</v>
      </c>
      <c r="K23" s="419">
        <v>0</v>
      </c>
      <c r="L23" s="415">
        <v>1</v>
      </c>
      <c r="M23" s="418">
        <f t="shared" si="2"/>
        <v>0</v>
      </c>
      <c r="N23" s="416">
        <f t="shared" si="3"/>
        <v>698.6</v>
      </c>
      <c r="O23" s="416">
        <f t="shared" si="4"/>
        <v>2095.8000000000002</v>
      </c>
      <c r="P23" s="418">
        <f t="shared" si="5"/>
        <v>0</v>
      </c>
      <c r="Q23" s="420">
        <f t="shared" si="6"/>
        <v>2095.8000000000002</v>
      </c>
    </row>
    <row r="24" spans="1:18" ht="15">
      <c r="A24" s="370"/>
      <c r="B24" s="384" t="s">
        <v>362</v>
      </c>
      <c r="C24" s="384" t="s">
        <v>356</v>
      </c>
      <c r="D24" s="384" t="s">
        <v>380</v>
      </c>
      <c r="E24" s="422">
        <v>2019</v>
      </c>
      <c r="F24" s="423">
        <v>43100</v>
      </c>
      <c r="G24" s="384">
        <v>5</v>
      </c>
      <c r="H24" s="424">
        <v>1</v>
      </c>
      <c r="I24" s="423">
        <f t="shared" si="0"/>
        <v>43100</v>
      </c>
      <c r="J24" s="423">
        <f t="shared" si="1"/>
        <v>8620</v>
      </c>
      <c r="K24" s="425">
        <v>0</v>
      </c>
      <c r="L24" s="426">
        <v>1</v>
      </c>
      <c r="M24" s="417">
        <f t="shared" si="2"/>
        <v>0</v>
      </c>
      <c r="N24" s="417">
        <f t="shared" si="3"/>
        <v>8620</v>
      </c>
      <c r="O24" s="417">
        <f t="shared" si="4"/>
        <v>43100</v>
      </c>
      <c r="P24" s="417">
        <f t="shared" si="5"/>
        <v>0</v>
      </c>
      <c r="Q24" s="427">
        <f t="shared" si="6"/>
        <v>43100</v>
      </c>
    </row>
    <row r="25" spans="1:18" ht="15">
      <c r="B25" s="371" t="s">
        <v>361</v>
      </c>
      <c r="C25" s="371" t="s">
        <v>357</v>
      </c>
      <c r="D25" s="371" t="s">
        <v>371</v>
      </c>
      <c r="E25" s="372">
        <v>2018</v>
      </c>
      <c r="F25" s="373">
        <v>3945</v>
      </c>
      <c r="G25" s="371">
        <v>5</v>
      </c>
      <c r="H25" s="374">
        <v>1</v>
      </c>
      <c r="I25" s="373">
        <f t="shared" si="0"/>
        <v>3945</v>
      </c>
      <c r="J25" s="373">
        <f t="shared" si="1"/>
        <v>789</v>
      </c>
      <c r="K25" s="419">
        <v>1</v>
      </c>
      <c r="L25" s="415">
        <v>0</v>
      </c>
      <c r="M25" s="418">
        <f t="shared" si="2"/>
        <v>789</v>
      </c>
      <c r="N25" s="416">
        <f t="shared" si="3"/>
        <v>0</v>
      </c>
      <c r="O25" s="416">
        <f t="shared" si="4"/>
        <v>3156</v>
      </c>
      <c r="P25" s="418">
        <f t="shared" si="5"/>
        <v>3156</v>
      </c>
      <c r="Q25" s="420">
        <f t="shared" si="6"/>
        <v>0</v>
      </c>
    </row>
    <row r="26" spans="1:18" ht="15">
      <c r="B26" s="448" t="s">
        <v>361</v>
      </c>
      <c r="C26" s="448" t="s">
        <v>358</v>
      </c>
      <c r="D26" s="448" t="s">
        <v>381</v>
      </c>
      <c r="E26" s="449">
        <v>2018</v>
      </c>
      <c r="F26" s="450">
        <v>2710</v>
      </c>
      <c r="G26" s="448">
        <v>5</v>
      </c>
      <c r="H26" s="451"/>
      <c r="I26" s="450"/>
      <c r="J26" s="450"/>
      <c r="K26" s="452"/>
      <c r="L26" s="453"/>
      <c r="M26" s="454"/>
      <c r="N26" s="454"/>
      <c r="O26" s="454"/>
      <c r="P26" s="454"/>
      <c r="Q26" s="455"/>
      <c r="R26" s="383" t="s">
        <v>482</v>
      </c>
    </row>
    <row r="27" spans="1:18" ht="15">
      <c r="B27" s="371" t="s">
        <v>361</v>
      </c>
      <c r="C27" s="371" t="s">
        <v>357</v>
      </c>
      <c r="D27" s="371" t="s">
        <v>382</v>
      </c>
      <c r="E27" s="372">
        <v>2018</v>
      </c>
      <c r="F27" s="373">
        <v>1580</v>
      </c>
      <c r="G27" s="371">
        <v>5</v>
      </c>
      <c r="H27" s="374">
        <v>1</v>
      </c>
      <c r="I27" s="373">
        <f t="shared" si="0"/>
        <v>1580</v>
      </c>
      <c r="J27" s="373">
        <f t="shared" si="1"/>
        <v>316</v>
      </c>
      <c r="K27" s="419">
        <v>1</v>
      </c>
      <c r="L27" s="415">
        <v>0</v>
      </c>
      <c r="M27" s="418">
        <f t="shared" si="2"/>
        <v>316</v>
      </c>
      <c r="N27" s="416">
        <f t="shared" si="3"/>
        <v>0</v>
      </c>
      <c r="O27" s="416">
        <f t="shared" si="4"/>
        <v>1264</v>
      </c>
      <c r="P27" s="418">
        <f t="shared" si="5"/>
        <v>1264</v>
      </c>
      <c r="Q27" s="420">
        <f t="shared" si="6"/>
        <v>0</v>
      </c>
    </row>
    <row r="28" spans="1:18" ht="15">
      <c r="B28" s="456" t="s">
        <v>361</v>
      </c>
      <c r="C28" s="456" t="s">
        <v>350</v>
      </c>
      <c r="D28" s="456" t="s">
        <v>383</v>
      </c>
      <c r="E28" s="457">
        <v>2018</v>
      </c>
      <c r="F28" s="458">
        <v>2270</v>
      </c>
      <c r="G28" s="456">
        <v>5</v>
      </c>
      <c r="H28" s="459">
        <f>'Drive Hours Recap'!L32</f>
        <v>0.47752285021451218</v>
      </c>
      <c r="I28" s="458">
        <f t="shared" si="0"/>
        <v>1083.9768699869426</v>
      </c>
      <c r="J28" s="458">
        <f t="shared" si="1"/>
        <v>454</v>
      </c>
      <c r="K28" s="460">
        <v>1</v>
      </c>
      <c r="L28" s="461">
        <v>0</v>
      </c>
      <c r="M28" s="462">
        <f t="shared" si="2"/>
        <v>454</v>
      </c>
      <c r="N28" s="462">
        <f t="shared" si="3"/>
        <v>0</v>
      </c>
      <c r="O28" s="462">
        <f t="shared" si="4"/>
        <v>629.97686998694257</v>
      </c>
      <c r="P28" s="462">
        <f t="shared" si="5"/>
        <v>629.97686998694257</v>
      </c>
      <c r="Q28" s="462">
        <f t="shared" si="6"/>
        <v>0</v>
      </c>
      <c r="R28" s="383" t="s">
        <v>483</v>
      </c>
    </row>
    <row r="29" spans="1:18">
      <c r="F29" s="421">
        <f>SUM(F8:F28)</f>
        <v>321441</v>
      </c>
      <c r="J29" s="421">
        <f>SUM(J8:J28)</f>
        <v>55576.133333333331</v>
      </c>
      <c r="M29" s="434">
        <f>SUM(M8:M28)</f>
        <v>24611.50983558426</v>
      </c>
      <c r="N29" s="435">
        <f>SUM(N8:N28)</f>
        <v>30964.623497749068</v>
      </c>
      <c r="O29" s="421">
        <f>SUM(O8:O28)</f>
        <v>244801.21346763664</v>
      </c>
      <c r="P29" s="421">
        <f>SUM(P8:P28)</f>
        <v>100738.12522145927</v>
      </c>
      <c r="Q29" s="421">
        <f>SUM(Q8:Q28)</f>
        <v>144063.08824617736</v>
      </c>
    </row>
    <row r="31" spans="1:18">
      <c r="B31" s="383" t="s">
        <v>393</v>
      </c>
      <c r="O31" s="472"/>
      <c r="P31" s="473" t="s">
        <v>297</v>
      </c>
      <c r="Q31" s="474" t="s">
        <v>298</v>
      </c>
    </row>
    <row r="32" spans="1:18">
      <c r="B32" s="383" t="s">
        <v>394</v>
      </c>
      <c r="O32" s="475" t="s">
        <v>481</v>
      </c>
      <c r="P32" s="476">
        <f>SUM(P25:P28)+SUM(P18:P23)+P16+P15+P11+P10</f>
        <v>33246.661640123319</v>
      </c>
      <c r="Q32" s="477">
        <f>SUM(Q25:Q28)+SUM(Q18:Q23)+Q16+Q15+Q11+Q10</f>
        <v>16479.323325368194</v>
      </c>
    </row>
    <row r="34" spans="3:17">
      <c r="C34" s="471" t="s">
        <v>301</v>
      </c>
    </row>
    <row r="35" spans="3:17" ht="15">
      <c r="C35" s="448" t="s">
        <v>484</v>
      </c>
    </row>
    <row r="36" spans="3:17" ht="15">
      <c r="C36" s="384" t="s">
        <v>485</v>
      </c>
      <c r="M36" s="383" t="s">
        <v>297</v>
      </c>
      <c r="N36" s="383" t="s">
        <v>298</v>
      </c>
      <c r="P36" s="383" t="s">
        <v>297</v>
      </c>
      <c r="Q36" s="383" t="s">
        <v>298</v>
      </c>
    </row>
    <row r="37" spans="3:17">
      <c r="L37" s="383" t="s">
        <v>462</v>
      </c>
      <c r="M37" s="500">
        <f>M27+M25+M23+M22+M16+M15+M11+M10</f>
        <v>7449.0907809747505</v>
      </c>
      <c r="N37" s="500">
        <f>N23+N22+N11+N10</f>
        <v>4277.5092190252499</v>
      </c>
      <c r="P37" s="500">
        <f>P27+P25+P22+P16+P15+P10</f>
        <v>31452.272342924251</v>
      </c>
      <c r="Q37" s="500">
        <f>Q23+Q11+Q10</f>
        <v>16032.527657075749</v>
      </c>
    </row>
    <row r="38" spans="3:17">
      <c r="L38" s="383" t="s">
        <v>301</v>
      </c>
      <c r="M38" s="501">
        <f>($M$28+$M$21+$M$18)*'Drive Hours Recap'!$L$32*'Drive Hours Recap'!$E$24</f>
        <v>616.13023681507502</v>
      </c>
      <c r="N38" s="501">
        <f>($M$28+$M$21+$M$18)*'Drive Hours Recap'!$L$32*'Drive Hours Recap'!$E$25</f>
        <v>236.41479125404766</v>
      </c>
      <c r="P38" s="501">
        <f>P18+P28+P21</f>
        <v>1794.3892971990681</v>
      </c>
      <c r="Q38" s="501">
        <f>Q18+Q21</f>
        <v>446.79566829244459</v>
      </c>
    </row>
    <row r="39" spans="3:17">
      <c r="L39" s="383" t="s">
        <v>494</v>
      </c>
      <c r="M39" s="500">
        <f>SUM(M37:M38)</f>
        <v>8065.2210177898251</v>
      </c>
      <c r="N39" s="500">
        <f>SUM(N37:N38)</f>
        <v>4513.9240102792974</v>
      </c>
      <c r="P39" s="500">
        <f>SUM(P37:P38)</f>
        <v>33246.661640123319</v>
      </c>
      <c r="Q39" s="500">
        <f>SUM(Q37:Q38)</f>
        <v>16479.323325368194</v>
      </c>
    </row>
    <row r="41" spans="3:17">
      <c r="L41" s="383" t="s">
        <v>241</v>
      </c>
      <c r="M41" s="500">
        <f>M8+M9+M12+M13+M14+M24</f>
        <v>12968.085731062831</v>
      </c>
      <c r="N41" s="500">
        <f>N8+N9+N12+N13+N14+N24</f>
        <v>25251.914268937169</v>
      </c>
      <c r="P41" s="500">
        <f>P8+P9+P12+P13+P14+P24</f>
        <v>64040.42865531415</v>
      </c>
      <c r="Q41" s="500">
        <f>Q9+Q12+Q13+Q24</f>
        <v>126259.57134468584</v>
      </c>
    </row>
    <row r="42" spans="3:17">
      <c r="L42" s="383" t="s">
        <v>301</v>
      </c>
      <c r="M42" s="501">
        <f>M17*'Drive Hours Recap'!$L$32*'Drive Hours Recap'!$E$24</f>
        <v>831.3488422785905</v>
      </c>
      <c r="N42" s="501">
        <f>N17*'Drive Hours Recap'!$L$32*'Drive Hours Recap'!$E$24</f>
        <v>318.99613306200632</v>
      </c>
      <c r="P42" s="501">
        <f>P17</f>
        <v>3451.0349260217899</v>
      </c>
      <c r="Q42" s="501">
        <f>Q17</f>
        <v>1324.1935761233315</v>
      </c>
    </row>
    <row r="43" spans="3:17">
      <c r="L43" s="383" t="s">
        <v>495</v>
      </c>
      <c r="M43" s="500">
        <f>SUM(M41:M42)</f>
        <v>13799.434573341421</v>
      </c>
      <c r="N43" s="500">
        <f>SUM(N41:N42)</f>
        <v>25570.910401999176</v>
      </c>
      <c r="P43" s="500">
        <f>SUM(P41:P42)</f>
        <v>67491.463581335935</v>
      </c>
      <c r="Q43" s="500">
        <f>SUM(Q41:Q42)</f>
        <v>127583.76492080918</v>
      </c>
    </row>
    <row r="45" spans="3:17">
      <c r="L45" s="383" t="s">
        <v>103</v>
      </c>
      <c r="M45" s="500">
        <f>M43+M39</f>
        <v>21864.655591131246</v>
      </c>
      <c r="N45" s="500">
        <f>N43+N39</f>
        <v>30084.834412278473</v>
      </c>
      <c r="P45" s="500">
        <f>P43+P39</f>
        <v>100738.12522145925</v>
      </c>
      <c r="Q45" s="500">
        <f>Q43+Q39</f>
        <v>144063.08824617736</v>
      </c>
    </row>
    <row r="46" spans="3:17">
      <c r="L46" s="383" t="s">
        <v>496</v>
      </c>
      <c r="M46" s="500">
        <f>M45-M29</f>
        <v>-2746.854244453014</v>
      </c>
      <c r="N46" s="500">
        <f>N45-N29</f>
        <v>-879.78908547059473</v>
      </c>
      <c r="P46" s="500">
        <f>P45-P29</f>
        <v>0</v>
      </c>
      <c r="Q46" s="500">
        <f>Q45-Q29</f>
        <v>0</v>
      </c>
    </row>
  </sheetData>
  <mergeCells count="4">
    <mergeCell ref="K5:L5"/>
    <mergeCell ref="M5:N5"/>
    <mergeCell ref="P5:Q5"/>
    <mergeCell ref="G5:G6"/>
  </mergeCells>
  <pageMargins left="0.7" right="0.7" top="0.75" bottom="0.75" header="0.3" footer="0.3"/>
  <pageSetup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'[13]Depn  Summary'!#REF!</xm:f>
          </x14:formula1>
          <xm:sqref>C8:C28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showGridLines="0" zoomScale="80" zoomScaleNormal="80" workbookViewId="0">
      <pane xSplit="1" ySplit="4" topLeftCell="L41" activePane="bottomRight" state="frozen"/>
      <selection pane="topRight" activeCell="B1" sqref="B1"/>
      <selection pane="bottomLeft" activeCell="A5" sqref="A5"/>
      <selection pane="bottomRight" activeCell="O12" sqref="O12"/>
    </sheetView>
  </sheetViews>
  <sheetFormatPr defaultColWidth="8.88671875" defaultRowHeight="20.25"/>
  <cols>
    <col min="1" max="1" width="34" style="385" bestFit="1" customWidth="1"/>
    <col min="2" max="13" width="14.33203125" style="385" bestFit="1" customWidth="1"/>
    <col min="14" max="14" width="16" style="385" bestFit="1" customWidth="1"/>
    <col min="15" max="15" width="17.44140625" style="385" customWidth="1"/>
    <col min="16" max="16384" width="8.88671875" style="385"/>
  </cols>
  <sheetData>
    <row r="1" spans="1:14">
      <c r="A1" s="701" t="s">
        <v>395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3"/>
    </row>
    <row r="2" spans="1:14">
      <c r="A2" s="386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>
      <c r="A3" s="388"/>
      <c r="B3" s="389" t="s">
        <v>226</v>
      </c>
      <c r="C3" s="390" t="s">
        <v>227</v>
      </c>
      <c r="D3" s="389" t="s">
        <v>312</v>
      </c>
      <c r="E3" s="390" t="s">
        <v>315</v>
      </c>
      <c r="F3" s="389" t="s">
        <v>230</v>
      </c>
      <c r="G3" s="390" t="s">
        <v>316</v>
      </c>
      <c r="H3" s="389" t="s">
        <v>317</v>
      </c>
      <c r="I3" s="390" t="s">
        <v>233</v>
      </c>
      <c r="J3" s="389" t="s">
        <v>318</v>
      </c>
      <c r="K3" s="390" t="s">
        <v>235</v>
      </c>
      <c r="L3" s="389" t="s">
        <v>236</v>
      </c>
      <c r="M3" s="390" t="s">
        <v>237</v>
      </c>
      <c r="N3" s="389" t="s">
        <v>238</v>
      </c>
    </row>
    <row r="4" spans="1:14">
      <c r="A4" s="704" t="s">
        <v>396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6"/>
    </row>
    <row r="5" spans="1:14" s="394" customFormat="1" ht="19.5">
      <c r="A5" s="391" t="s">
        <v>397</v>
      </c>
      <c r="B5" s="392">
        <v>10500</v>
      </c>
      <c r="C5" s="392">
        <f t="shared" ref="C5:M10" si="0">B5</f>
        <v>10500</v>
      </c>
      <c r="D5" s="392">
        <f t="shared" si="0"/>
        <v>10500</v>
      </c>
      <c r="E5" s="392">
        <f t="shared" si="0"/>
        <v>10500</v>
      </c>
      <c r="F5" s="392">
        <f t="shared" si="0"/>
        <v>10500</v>
      </c>
      <c r="G5" s="392">
        <f t="shared" si="0"/>
        <v>10500</v>
      </c>
      <c r="H5" s="392">
        <f t="shared" si="0"/>
        <v>10500</v>
      </c>
      <c r="I5" s="392">
        <f t="shared" si="0"/>
        <v>10500</v>
      </c>
      <c r="J5" s="392">
        <f t="shared" si="0"/>
        <v>10500</v>
      </c>
      <c r="K5" s="392">
        <f t="shared" si="0"/>
        <v>10500</v>
      </c>
      <c r="L5" s="392">
        <f t="shared" si="0"/>
        <v>10500</v>
      </c>
      <c r="M5" s="392">
        <f t="shared" si="0"/>
        <v>10500</v>
      </c>
      <c r="N5" s="393">
        <f>SUM(B5:M5)</f>
        <v>126000</v>
      </c>
    </row>
    <row r="6" spans="1:14" s="394" customFormat="1" ht="19.5">
      <c r="A6" s="395" t="s">
        <v>398</v>
      </c>
      <c r="B6" s="392">
        <v>26840</v>
      </c>
      <c r="C6" s="392">
        <f t="shared" si="0"/>
        <v>26840</v>
      </c>
      <c r="D6" s="392">
        <f t="shared" si="0"/>
        <v>26840</v>
      </c>
      <c r="E6" s="392">
        <f t="shared" si="0"/>
        <v>26840</v>
      </c>
      <c r="F6" s="392">
        <f t="shared" si="0"/>
        <v>26840</v>
      </c>
      <c r="G6" s="392">
        <f t="shared" si="0"/>
        <v>26840</v>
      </c>
      <c r="H6" s="392">
        <f t="shared" si="0"/>
        <v>26840</v>
      </c>
      <c r="I6" s="392">
        <f t="shared" si="0"/>
        <v>26840</v>
      </c>
      <c r="J6" s="392">
        <f t="shared" si="0"/>
        <v>26840</v>
      </c>
      <c r="K6" s="392">
        <f t="shared" si="0"/>
        <v>26840</v>
      </c>
      <c r="L6" s="392">
        <f t="shared" si="0"/>
        <v>26840</v>
      </c>
      <c r="M6" s="392">
        <f t="shared" si="0"/>
        <v>26840</v>
      </c>
      <c r="N6" s="393">
        <f>SUM(B6:M6)</f>
        <v>322080</v>
      </c>
    </row>
    <row r="7" spans="1:14" s="394" customFormat="1" ht="19.5">
      <c r="A7" s="391" t="s">
        <v>399</v>
      </c>
      <c r="B7" s="392">
        <v>12260</v>
      </c>
      <c r="C7" s="392">
        <f t="shared" si="0"/>
        <v>12260</v>
      </c>
      <c r="D7" s="392">
        <f t="shared" si="0"/>
        <v>12260</v>
      </c>
      <c r="E7" s="392">
        <f t="shared" si="0"/>
        <v>12260</v>
      </c>
      <c r="F7" s="392">
        <f t="shared" si="0"/>
        <v>12260</v>
      </c>
      <c r="G7" s="392">
        <f t="shared" si="0"/>
        <v>12260</v>
      </c>
      <c r="H7" s="392">
        <f t="shared" si="0"/>
        <v>12260</v>
      </c>
      <c r="I7" s="392">
        <f t="shared" si="0"/>
        <v>12260</v>
      </c>
      <c r="J7" s="392">
        <f t="shared" si="0"/>
        <v>12260</v>
      </c>
      <c r="K7" s="392">
        <f t="shared" si="0"/>
        <v>12260</v>
      </c>
      <c r="L7" s="392">
        <f t="shared" si="0"/>
        <v>12260</v>
      </c>
      <c r="M7" s="392">
        <f t="shared" si="0"/>
        <v>12260</v>
      </c>
      <c r="N7" s="393">
        <f t="shared" ref="N7:N9" si="1">SUM(B7:M7)</f>
        <v>147120</v>
      </c>
    </row>
    <row r="8" spans="1:14" s="394" customFormat="1" ht="19.5">
      <c r="A8" s="391" t="s">
        <v>400</v>
      </c>
      <c r="B8" s="392">
        <v>0</v>
      </c>
      <c r="C8" s="392">
        <f t="shared" si="0"/>
        <v>0</v>
      </c>
      <c r="D8" s="392">
        <f t="shared" si="0"/>
        <v>0</v>
      </c>
      <c r="E8" s="392">
        <f t="shared" si="0"/>
        <v>0</v>
      </c>
      <c r="F8" s="392">
        <f t="shared" si="0"/>
        <v>0</v>
      </c>
      <c r="G8" s="392">
        <f t="shared" si="0"/>
        <v>0</v>
      </c>
      <c r="H8" s="392">
        <f t="shared" si="0"/>
        <v>0</v>
      </c>
      <c r="I8" s="392">
        <f t="shared" si="0"/>
        <v>0</v>
      </c>
      <c r="J8" s="392">
        <f t="shared" si="0"/>
        <v>0</v>
      </c>
      <c r="K8" s="392">
        <f t="shared" si="0"/>
        <v>0</v>
      </c>
      <c r="L8" s="392">
        <f t="shared" si="0"/>
        <v>0</v>
      </c>
      <c r="M8" s="392">
        <f t="shared" si="0"/>
        <v>0</v>
      </c>
      <c r="N8" s="393">
        <f t="shared" si="1"/>
        <v>0</v>
      </c>
    </row>
    <row r="9" spans="1:14" s="394" customFormat="1" ht="19.5">
      <c r="A9" s="391" t="s">
        <v>401</v>
      </c>
      <c r="B9" s="392">
        <v>0</v>
      </c>
      <c r="C9" s="392">
        <f t="shared" si="0"/>
        <v>0</v>
      </c>
      <c r="D9" s="392">
        <f t="shared" si="0"/>
        <v>0</v>
      </c>
      <c r="E9" s="392">
        <f t="shared" si="0"/>
        <v>0</v>
      </c>
      <c r="F9" s="392">
        <f t="shared" si="0"/>
        <v>0</v>
      </c>
      <c r="G9" s="392">
        <f t="shared" si="0"/>
        <v>0</v>
      </c>
      <c r="H9" s="392">
        <f t="shared" si="0"/>
        <v>0</v>
      </c>
      <c r="I9" s="392">
        <f t="shared" si="0"/>
        <v>0</v>
      </c>
      <c r="J9" s="392">
        <f t="shared" si="0"/>
        <v>0</v>
      </c>
      <c r="K9" s="392">
        <f t="shared" si="0"/>
        <v>0</v>
      </c>
      <c r="L9" s="392">
        <f t="shared" si="0"/>
        <v>0</v>
      </c>
      <c r="M9" s="392">
        <f t="shared" si="0"/>
        <v>0</v>
      </c>
      <c r="N9" s="393">
        <f t="shared" si="1"/>
        <v>0</v>
      </c>
    </row>
    <row r="10" spans="1:14" s="394" customFormat="1" ht="19.5">
      <c r="A10" s="391"/>
      <c r="B10" s="392">
        <v>0</v>
      </c>
      <c r="C10" s="392">
        <f t="shared" si="0"/>
        <v>0</v>
      </c>
      <c r="D10" s="392">
        <f t="shared" si="0"/>
        <v>0</v>
      </c>
      <c r="E10" s="392">
        <f t="shared" si="0"/>
        <v>0</v>
      </c>
      <c r="F10" s="392">
        <f t="shared" si="0"/>
        <v>0</v>
      </c>
      <c r="G10" s="392">
        <f t="shared" si="0"/>
        <v>0</v>
      </c>
      <c r="H10" s="392">
        <f t="shared" si="0"/>
        <v>0</v>
      </c>
      <c r="I10" s="392">
        <f t="shared" si="0"/>
        <v>0</v>
      </c>
      <c r="J10" s="392">
        <f t="shared" si="0"/>
        <v>0</v>
      </c>
      <c r="K10" s="392">
        <f t="shared" si="0"/>
        <v>0</v>
      </c>
      <c r="L10" s="392">
        <f t="shared" si="0"/>
        <v>0</v>
      </c>
      <c r="M10" s="392">
        <f t="shared" si="0"/>
        <v>0</v>
      </c>
      <c r="N10" s="393">
        <f>SUM(B10:M10)</f>
        <v>0</v>
      </c>
    </row>
    <row r="11" spans="1:14" s="394" customFormat="1" ht="19.5">
      <c r="A11" s="396" t="s">
        <v>402</v>
      </c>
      <c r="B11" s="393">
        <f>SUM(B5:B10)</f>
        <v>49600</v>
      </c>
      <c r="C11" s="393">
        <f t="shared" ref="C11:N11" si="2">SUM(C5:C10)</f>
        <v>49600</v>
      </c>
      <c r="D11" s="393">
        <f t="shared" si="2"/>
        <v>49600</v>
      </c>
      <c r="E11" s="393">
        <f t="shared" si="2"/>
        <v>49600</v>
      </c>
      <c r="F11" s="393">
        <f t="shared" si="2"/>
        <v>49600</v>
      </c>
      <c r="G11" s="393">
        <f t="shared" si="2"/>
        <v>49600</v>
      </c>
      <c r="H11" s="393">
        <f t="shared" si="2"/>
        <v>49600</v>
      </c>
      <c r="I11" s="393">
        <f t="shared" si="2"/>
        <v>49600</v>
      </c>
      <c r="J11" s="393">
        <f t="shared" si="2"/>
        <v>49600</v>
      </c>
      <c r="K11" s="393">
        <f t="shared" si="2"/>
        <v>49600</v>
      </c>
      <c r="L11" s="393">
        <f t="shared" si="2"/>
        <v>49600</v>
      </c>
      <c r="M11" s="393">
        <f t="shared" si="2"/>
        <v>49600</v>
      </c>
      <c r="N11" s="393">
        <f t="shared" si="2"/>
        <v>595200</v>
      </c>
    </row>
    <row r="12" spans="1:14">
      <c r="A12" s="704" t="s">
        <v>403</v>
      </c>
      <c r="B12" s="707"/>
      <c r="C12" s="707"/>
      <c r="D12" s="707"/>
      <c r="E12" s="707"/>
      <c r="F12" s="707"/>
      <c r="G12" s="707"/>
      <c r="H12" s="707"/>
      <c r="I12" s="707"/>
      <c r="J12" s="707"/>
      <c r="K12" s="707"/>
      <c r="L12" s="707"/>
      <c r="M12" s="707"/>
      <c r="N12" s="708"/>
    </row>
    <row r="13" spans="1:14">
      <c r="A13" s="698" t="s">
        <v>404</v>
      </c>
      <c r="B13" s="699"/>
      <c r="C13" s="699"/>
      <c r="D13" s="699"/>
      <c r="E13" s="699"/>
      <c r="F13" s="699"/>
      <c r="G13" s="699"/>
      <c r="H13" s="699"/>
      <c r="I13" s="699"/>
      <c r="J13" s="699"/>
      <c r="K13" s="699"/>
      <c r="L13" s="699"/>
      <c r="M13" s="699"/>
      <c r="N13" s="700"/>
    </row>
    <row r="14" spans="1:14" s="394" customFormat="1" ht="19.5">
      <c r="A14" s="391" t="s">
        <v>334</v>
      </c>
      <c r="B14" s="392">
        <v>250</v>
      </c>
      <c r="C14" s="392">
        <f t="shared" ref="C14:M30" si="3">B14</f>
        <v>250</v>
      </c>
      <c r="D14" s="392">
        <f t="shared" si="3"/>
        <v>250</v>
      </c>
      <c r="E14" s="392">
        <f t="shared" si="3"/>
        <v>250</v>
      </c>
      <c r="F14" s="392">
        <f t="shared" si="3"/>
        <v>250</v>
      </c>
      <c r="G14" s="392">
        <f t="shared" si="3"/>
        <v>250</v>
      </c>
      <c r="H14" s="392">
        <f t="shared" si="3"/>
        <v>250</v>
      </c>
      <c r="I14" s="392">
        <f t="shared" si="3"/>
        <v>250</v>
      </c>
      <c r="J14" s="392">
        <f t="shared" si="3"/>
        <v>250</v>
      </c>
      <c r="K14" s="392">
        <f t="shared" si="3"/>
        <v>250</v>
      </c>
      <c r="L14" s="392">
        <f t="shared" si="3"/>
        <v>250</v>
      </c>
      <c r="M14" s="392">
        <f t="shared" si="3"/>
        <v>250</v>
      </c>
      <c r="N14" s="397">
        <f t="shared" ref="N14:N32" si="4">SUM(B14:M14)</f>
        <v>3000</v>
      </c>
    </row>
    <row r="15" spans="1:14" s="394" customFormat="1" ht="19.5">
      <c r="A15" s="391" t="s">
        <v>405</v>
      </c>
      <c r="B15" s="392">
        <v>0</v>
      </c>
      <c r="C15" s="392">
        <f t="shared" si="3"/>
        <v>0</v>
      </c>
      <c r="D15" s="392">
        <f t="shared" si="3"/>
        <v>0</v>
      </c>
      <c r="E15" s="392">
        <f t="shared" si="3"/>
        <v>0</v>
      </c>
      <c r="F15" s="392">
        <f t="shared" si="3"/>
        <v>0</v>
      </c>
      <c r="G15" s="392">
        <f t="shared" si="3"/>
        <v>0</v>
      </c>
      <c r="H15" s="392">
        <f t="shared" si="3"/>
        <v>0</v>
      </c>
      <c r="I15" s="392">
        <f t="shared" si="3"/>
        <v>0</v>
      </c>
      <c r="J15" s="392">
        <f t="shared" si="3"/>
        <v>0</v>
      </c>
      <c r="K15" s="392">
        <f t="shared" si="3"/>
        <v>0</v>
      </c>
      <c r="L15" s="392">
        <f t="shared" si="3"/>
        <v>0</v>
      </c>
      <c r="M15" s="392">
        <f t="shared" si="3"/>
        <v>0</v>
      </c>
      <c r="N15" s="397">
        <f t="shared" si="4"/>
        <v>0</v>
      </c>
    </row>
    <row r="16" spans="1:14" s="394" customFormat="1" ht="19.5">
      <c r="A16" s="391" t="s">
        <v>335</v>
      </c>
      <c r="B16" s="392">
        <v>175</v>
      </c>
      <c r="C16" s="392">
        <f t="shared" si="3"/>
        <v>175</v>
      </c>
      <c r="D16" s="392">
        <f t="shared" si="3"/>
        <v>175</v>
      </c>
      <c r="E16" s="392">
        <f t="shared" si="3"/>
        <v>175</v>
      </c>
      <c r="F16" s="392">
        <f t="shared" si="3"/>
        <v>175</v>
      </c>
      <c r="G16" s="392">
        <f t="shared" si="3"/>
        <v>175</v>
      </c>
      <c r="H16" s="392">
        <f t="shared" si="3"/>
        <v>175</v>
      </c>
      <c r="I16" s="392">
        <f t="shared" si="3"/>
        <v>175</v>
      </c>
      <c r="J16" s="392">
        <f t="shared" si="3"/>
        <v>175</v>
      </c>
      <c r="K16" s="392">
        <f t="shared" si="3"/>
        <v>175</v>
      </c>
      <c r="L16" s="392">
        <f t="shared" si="3"/>
        <v>175</v>
      </c>
      <c r="M16" s="392">
        <f t="shared" si="3"/>
        <v>175</v>
      </c>
      <c r="N16" s="397">
        <f t="shared" si="4"/>
        <v>2100</v>
      </c>
    </row>
    <row r="17" spans="1:14" s="394" customFormat="1" ht="19.5">
      <c r="A17" s="395" t="s">
        <v>336</v>
      </c>
      <c r="B17" s="392">
        <v>450</v>
      </c>
      <c r="C17" s="392">
        <f t="shared" si="3"/>
        <v>450</v>
      </c>
      <c r="D17" s="392">
        <f t="shared" si="3"/>
        <v>450</v>
      </c>
      <c r="E17" s="392">
        <f t="shared" si="3"/>
        <v>450</v>
      </c>
      <c r="F17" s="392">
        <f t="shared" si="3"/>
        <v>450</v>
      </c>
      <c r="G17" s="392">
        <f t="shared" si="3"/>
        <v>450</v>
      </c>
      <c r="H17" s="392">
        <f t="shared" si="3"/>
        <v>450</v>
      </c>
      <c r="I17" s="392">
        <f t="shared" si="3"/>
        <v>450</v>
      </c>
      <c r="J17" s="392">
        <f t="shared" si="3"/>
        <v>450</v>
      </c>
      <c r="K17" s="392">
        <f t="shared" si="3"/>
        <v>450</v>
      </c>
      <c r="L17" s="392">
        <f t="shared" si="3"/>
        <v>450</v>
      </c>
      <c r="M17" s="392">
        <f t="shared" si="3"/>
        <v>450</v>
      </c>
      <c r="N17" s="397">
        <f t="shared" si="4"/>
        <v>5400</v>
      </c>
    </row>
    <row r="18" spans="1:14" s="394" customFormat="1" ht="19.5">
      <c r="A18" s="391" t="s">
        <v>406</v>
      </c>
      <c r="B18" s="392">
        <v>250</v>
      </c>
      <c r="C18" s="392">
        <f t="shared" si="3"/>
        <v>250</v>
      </c>
      <c r="D18" s="392">
        <f t="shared" si="3"/>
        <v>250</v>
      </c>
      <c r="E18" s="392">
        <f t="shared" si="3"/>
        <v>250</v>
      </c>
      <c r="F18" s="392">
        <f t="shared" si="3"/>
        <v>250</v>
      </c>
      <c r="G18" s="392">
        <f t="shared" si="3"/>
        <v>250</v>
      </c>
      <c r="H18" s="392">
        <f t="shared" si="3"/>
        <v>250</v>
      </c>
      <c r="I18" s="392">
        <f t="shared" si="3"/>
        <v>250</v>
      </c>
      <c r="J18" s="392">
        <f t="shared" si="3"/>
        <v>250</v>
      </c>
      <c r="K18" s="392">
        <f t="shared" si="3"/>
        <v>250</v>
      </c>
      <c r="L18" s="392">
        <f t="shared" si="3"/>
        <v>250</v>
      </c>
      <c r="M18" s="392">
        <f t="shared" si="3"/>
        <v>250</v>
      </c>
      <c r="N18" s="397">
        <f t="shared" si="4"/>
        <v>3000</v>
      </c>
    </row>
    <row r="19" spans="1:14" s="394" customFormat="1" ht="19.5">
      <c r="A19" s="391" t="s">
        <v>407</v>
      </c>
      <c r="B19" s="392">
        <v>0</v>
      </c>
      <c r="C19" s="392">
        <f t="shared" si="3"/>
        <v>0</v>
      </c>
      <c r="D19" s="392">
        <f t="shared" si="3"/>
        <v>0</v>
      </c>
      <c r="E19" s="392">
        <f t="shared" si="3"/>
        <v>0</v>
      </c>
      <c r="F19" s="392">
        <f t="shared" si="3"/>
        <v>0</v>
      </c>
      <c r="G19" s="392">
        <f t="shared" si="3"/>
        <v>0</v>
      </c>
      <c r="H19" s="392">
        <f t="shared" si="3"/>
        <v>0</v>
      </c>
      <c r="I19" s="392">
        <f t="shared" si="3"/>
        <v>0</v>
      </c>
      <c r="J19" s="392">
        <f t="shared" si="3"/>
        <v>0</v>
      </c>
      <c r="K19" s="392">
        <f t="shared" si="3"/>
        <v>0</v>
      </c>
      <c r="L19" s="392">
        <f t="shared" si="3"/>
        <v>0</v>
      </c>
      <c r="M19" s="392">
        <f t="shared" si="3"/>
        <v>0</v>
      </c>
      <c r="N19" s="397">
        <f t="shared" si="4"/>
        <v>0</v>
      </c>
    </row>
    <row r="20" spans="1:14" s="394" customFormat="1" ht="19.5">
      <c r="A20" s="395" t="s">
        <v>408</v>
      </c>
      <c r="B20" s="392">
        <v>127</v>
      </c>
      <c r="C20" s="392">
        <f t="shared" si="3"/>
        <v>127</v>
      </c>
      <c r="D20" s="392">
        <f t="shared" si="3"/>
        <v>127</v>
      </c>
      <c r="E20" s="392">
        <f t="shared" si="3"/>
        <v>127</v>
      </c>
      <c r="F20" s="392">
        <f t="shared" si="3"/>
        <v>127</v>
      </c>
      <c r="G20" s="392">
        <f t="shared" si="3"/>
        <v>127</v>
      </c>
      <c r="H20" s="392">
        <f t="shared" si="3"/>
        <v>127</v>
      </c>
      <c r="I20" s="392">
        <f t="shared" si="3"/>
        <v>127</v>
      </c>
      <c r="J20" s="392">
        <f t="shared" si="3"/>
        <v>127</v>
      </c>
      <c r="K20" s="392">
        <f t="shared" si="3"/>
        <v>127</v>
      </c>
      <c r="L20" s="392">
        <f t="shared" si="3"/>
        <v>127</v>
      </c>
      <c r="M20" s="392">
        <f t="shared" si="3"/>
        <v>127</v>
      </c>
      <c r="N20" s="397">
        <f t="shared" si="4"/>
        <v>1524</v>
      </c>
    </row>
    <row r="21" spans="1:14" s="394" customFormat="1" ht="19.5">
      <c r="A21" s="391" t="s">
        <v>409</v>
      </c>
      <c r="B21" s="392">
        <v>0</v>
      </c>
      <c r="C21" s="392">
        <f t="shared" si="3"/>
        <v>0</v>
      </c>
      <c r="D21" s="392">
        <f t="shared" si="3"/>
        <v>0</v>
      </c>
      <c r="E21" s="392">
        <f t="shared" si="3"/>
        <v>0</v>
      </c>
      <c r="F21" s="392">
        <f t="shared" si="3"/>
        <v>0</v>
      </c>
      <c r="G21" s="392">
        <f t="shared" si="3"/>
        <v>0</v>
      </c>
      <c r="H21" s="392">
        <f t="shared" si="3"/>
        <v>0</v>
      </c>
      <c r="I21" s="392">
        <f t="shared" si="3"/>
        <v>0</v>
      </c>
      <c r="J21" s="392">
        <f t="shared" si="3"/>
        <v>0</v>
      </c>
      <c r="K21" s="392">
        <f t="shared" si="3"/>
        <v>0</v>
      </c>
      <c r="L21" s="392">
        <f t="shared" si="3"/>
        <v>0</v>
      </c>
      <c r="M21" s="392">
        <f t="shared" si="3"/>
        <v>0</v>
      </c>
      <c r="N21" s="397">
        <f t="shared" si="4"/>
        <v>0</v>
      </c>
    </row>
    <row r="22" spans="1:14" s="394" customFormat="1" ht="19.5">
      <c r="A22" s="391" t="s">
        <v>410</v>
      </c>
      <c r="B22" s="392">
        <v>450</v>
      </c>
      <c r="C22" s="392">
        <f t="shared" si="3"/>
        <v>450</v>
      </c>
      <c r="D22" s="392">
        <f t="shared" si="3"/>
        <v>450</v>
      </c>
      <c r="E22" s="392">
        <f t="shared" si="3"/>
        <v>450</v>
      </c>
      <c r="F22" s="392">
        <f t="shared" si="3"/>
        <v>450</v>
      </c>
      <c r="G22" s="392">
        <f t="shared" si="3"/>
        <v>450</v>
      </c>
      <c r="H22" s="392">
        <f t="shared" si="3"/>
        <v>450</v>
      </c>
      <c r="I22" s="392">
        <f t="shared" si="3"/>
        <v>450</v>
      </c>
      <c r="J22" s="392">
        <f t="shared" si="3"/>
        <v>450</v>
      </c>
      <c r="K22" s="392">
        <f t="shared" si="3"/>
        <v>450</v>
      </c>
      <c r="L22" s="392">
        <f t="shared" si="3"/>
        <v>450</v>
      </c>
      <c r="M22" s="392">
        <f t="shared" si="3"/>
        <v>450</v>
      </c>
      <c r="N22" s="397">
        <f t="shared" si="4"/>
        <v>5400</v>
      </c>
    </row>
    <row r="23" spans="1:14" s="394" customFormat="1" ht="19.5">
      <c r="A23" s="391" t="s">
        <v>411</v>
      </c>
      <c r="B23" s="392">
        <v>0</v>
      </c>
      <c r="C23" s="392">
        <f t="shared" si="3"/>
        <v>0</v>
      </c>
      <c r="D23" s="392">
        <f t="shared" si="3"/>
        <v>0</v>
      </c>
      <c r="E23" s="392">
        <f t="shared" si="3"/>
        <v>0</v>
      </c>
      <c r="F23" s="392">
        <f t="shared" si="3"/>
        <v>0</v>
      </c>
      <c r="G23" s="392">
        <f t="shared" si="3"/>
        <v>0</v>
      </c>
      <c r="H23" s="392">
        <f t="shared" si="3"/>
        <v>0</v>
      </c>
      <c r="I23" s="392">
        <f t="shared" si="3"/>
        <v>0</v>
      </c>
      <c r="J23" s="392">
        <f t="shared" si="3"/>
        <v>0</v>
      </c>
      <c r="K23" s="392">
        <f t="shared" si="3"/>
        <v>0</v>
      </c>
      <c r="L23" s="392">
        <f t="shared" si="3"/>
        <v>0</v>
      </c>
      <c r="M23" s="392">
        <f t="shared" si="3"/>
        <v>0</v>
      </c>
      <c r="N23" s="397">
        <f t="shared" si="4"/>
        <v>0</v>
      </c>
    </row>
    <row r="24" spans="1:14" s="394" customFormat="1" ht="19.5">
      <c r="A24" s="391" t="s">
        <v>412</v>
      </c>
      <c r="B24" s="392">
        <v>150</v>
      </c>
      <c r="C24" s="392">
        <f t="shared" si="3"/>
        <v>150</v>
      </c>
      <c r="D24" s="392">
        <f t="shared" si="3"/>
        <v>150</v>
      </c>
      <c r="E24" s="392">
        <f t="shared" si="3"/>
        <v>150</v>
      </c>
      <c r="F24" s="392">
        <f t="shared" si="3"/>
        <v>150</v>
      </c>
      <c r="G24" s="392">
        <f t="shared" si="3"/>
        <v>150</v>
      </c>
      <c r="H24" s="392">
        <f t="shared" si="3"/>
        <v>150</v>
      </c>
      <c r="I24" s="392">
        <f t="shared" si="3"/>
        <v>150</v>
      </c>
      <c r="J24" s="392">
        <f t="shared" si="3"/>
        <v>150</v>
      </c>
      <c r="K24" s="392">
        <f t="shared" si="3"/>
        <v>150</v>
      </c>
      <c r="L24" s="392">
        <f t="shared" si="3"/>
        <v>150</v>
      </c>
      <c r="M24" s="392">
        <f t="shared" si="3"/>
        <v>150</v>
      </c>
      <c r="N24" s="397">
        <f t="shared" si="4"/>
        <v>1800</v>
      </c>
    </row>
    <row r="25" spans="1:14" s="394" customFormat="1" ht="19.5">
      <c r="A25" s="391" t="s">
        <v>413</v>
      </c>
      <c r="B25" s="392">
        <v>0</v>
      </c>
      <c r="C25" s="392">
        <f t="shared" si="3"/>
        <v>0</v>
      </c>
      <c r="D25" s="392">
        <f t="shared" si="3"/>
        <v>0</v>
      </c>
      <c r="E25" s="392">
        <f t="shared" si="3"/>
        <v>0</v>
      </c>
      <c r="F25" s="392">
        <f t="shared" si="3"/>
        <v>0</v>
      </c>
      <c r="G25" s="392">
        <f t="shared" si="3"/>
        <v>0</v>
      </c>
      <c r="H25" s="392">
        <f t="shared" si="3"/>
        <v>0</v>
      </c>
      <c r="I25" s="392">
        <f t="shared" si="3"/>
        <v>0</v>
      </c>
      <c r="J25" s="392">
        <f t="shared" si="3"/>
        <v>0</v>
      </c>
      <c r="K25" s="392">
        <f t="shared" si="3"/>
        <v>0</v>
      </c>
      <c r="L25" s="392">
        <f t="shared" si="3"/>
        <v>0</v>
      </c>
      <c r="M25" s="392">
        <f t="shared" si="3"/>
        <v>0</v>
      </c>
      <c r="N25" s="397">
        <f t="shared" si="4"/>
        <v>0</v>
      </c>
    </row>
    <row r="26" spans="1:14" s="394" customFormat="1" ht="19.5">
      <c r="A26" s="395" t="s">
        <v>339</v>
      </c>
      <c r="B26" s="392">
        <v>150</v>
      </c>
      <c r="C26" s="392">
        <f t="shared" si="3"/>
        <v>150</v>
      </c>
      <c r="D26" s="392">
        <f t="shared" si="3"/>
        <v>150</v>
      </c>
      <c r="E26" s="392">
        <f t="shared" si="3"/>
        <v>150</v>
      </c>
      <c r="F26" s="392">
        <f t="shared" si="3"/>
        <v>150</v>
      </c>
      <c r="G26" s="392">
        <f t="shared" si="3"/>
        <v>150</v>
      </c>
      <c r="H26" s="392">
        <f t="shared" si="3"/>
        <v>150</v>
      </c>
      <c r="I26" s="392">
        <f t="shared" si="3"/>
        <v>150</v>
      </c>
      <c r="J26" s="392">
        <f t="shared" si="3"/>
        <v>150</v>
      </c>
      <c r="K26" s="392">
        <f t="shared" si="3"/>
        <v>150</v>
      </c>
      <c r="L26" s="392">
        <f t="shared" si="3"/>
        <v>150</v>
      </c>
      <c r="M26" s="392">
        <f t="shared" si="3"/>
        <v>150</v>
      </c>
      <c r="N26" s="397">
        <f t="shared" si="4"/>
        <v>1800</v>
      </c>
    </row>
    <row r="27" spans="1:14" s="394" customFormat="1" ht="19.5">
      <c r="A27" s="391" t="s">
        <v>414</v>
      </c>
      <c r="B27" s="392">
        <v>200</v>
      </c>
      <c r="C27" s="392">
        <f t="shared" si="3"/>
        <v>200</v>
      </c>
      <c r="D27" s="392">
        <f t="shared" si="3"/>
        <v>200</v>
      </c>
      <c r="E27" s="392">
        <f t="shared" si="3"/>
        <v>200</v>
      </c>
      <c r="F27" s="392">
        <f t="shared" si="3"/>
        <v>200</v>
      </c>
      <c r="G27" s="392">
        <f t="shared" si="3"/>
        <v>200</v>
      </c>
      <c r="H27" s="392">
        <f t="shared" si="3"/>
        <v>200</v>
      </c>
      <c r="I27" s="392">
        <f t="shared" si="3"/>
        <v>200</v>
      </c>
      <c r="J27" s="392">
        <f t="shared" si="3"/>
        <v>200</v>
      </c>
      <c r="K27" s="392">
        <f t="shared" si="3"/>
        <v>200</v>
      </c>
      <c r="L27" s="392">
        <f t="shared" si="3"/>
        <v>200</v>
      </c>
      <c r="M27" s="392">
        <f t="shared" si="3"/>
        <v>200</v>
      </c>
      <c r="N27" s="397">
        <f t="shared" si="4"/>
        <v>2400</v>
      </c>
    </row>
    <row r="28" spans="1:14" s="394" customFormat="1" ht="19.5">
      <c r="A28" s="391" t="s">
        <v>342</v>
      </c>
      <c r="B28" s="392">
        <v>5833.3329999999996</v>
      </c>
      <c r="C28" s="392">
        <f t="shared" si="3"/>
        <v>5833.3329999999996</v>
      </c>
      <c r="D28" s="392">
        <f t="shared" si="3"/>
        <v>5833.3329999999996</v>
      </c>
      <c r="E28" s="392">
        <f t="shared" si="3"/>
        <v>5833.3329999999996</v>
      </c>
      <c r="F28" s="392">
        <f t="shared" si="3"/>
        <v>5833.3329999999996</v>
      </c>
      <c r="G28" s="392">
        <f t="shared" si="3"/>
        <v>5833.3329999999996</v>
      </c>
      <c r="H28" s="392">
        <f t="shared" si="3"/>
        <v>5833.3329999999996</v>
      </c>
      <c r="I28" s="392">
        <f t="shared" si="3"/>
        <v>5833.3329999999996</v>
      </c>
      <c r="J28" s="392">
        <f t="shared" si="3"/>
        <v>5833.3329999999996</v>
      </c>
      <c r="K28" s="392">
        <f t="shared" si="3"/>
        <v>5833.3329999999996</v>
      </c>
      <c r="L28" s="392">
        <f t="shared" si="3"/>
        <v>5833.3329999999996</v>
      </c>
      <c r="M28" s="392">
        <f t="shared" si="3"/>
        <v>5833.3329999999996</v>
      </c>
      <c r="N28" s="397">
        <f t="shared" si="4"/>
        <v>69999.995999999999</v>
      </c>
    </row>
    <row r="29" spans="1:14" s="394" customFormat="1" ht="19.5">
      <c r="A29" s="395" t="s">
        <v>415</v>
      </c>
      <c r="B29" s="392">
        <v>150</v>
      </c>
      <c r="C29" s="392">
        <f t="shared" si="3"/>
        <v>150</v>
      </c>
      <c r="D29" s="392">
        <f t="shared" si="3"/>
        <v>150</v>
      </c>
      <c r="E29" s="392">
        <f t="shared" si="3"/>
        <v>150</v>
      </c>
      <c r="F29" s="392">
        <f t="shared" si="3"/>
        <v>150</v>
      </c>
      <c r="G29" s="392">
        <f t="shared" si="3"/>
        <v>150</v>
      </c>
      <c r="H29" s="392">
        <f t="shared" si="3"/>
        <v>150</v>
      </c>
      <c r="I29" s="392">
        <f t="shared" si="3"/>
        <v>150</v>
      </c>
      <c r="J29" s="392">
        <f t="shared" si="3"/>
        <v>150</v>
      </c>
      <c r="K29" s="392">
        <f t="shared" si="3"/>
        <v>150</v>
      </c>
      <c r="L29" s="392">
        <f t="shared" si="3"/>
        <v>150</v>
      </c>
      <c r="M29" s="392">
        <f t="shared" si="3"/>
        <v>150</v>
      </c>
      <c r="N29" s="397">
        <f t="shared" si="4"/>
        <v>1800</v>
      </c>
    </row>
    <row r="30" spans="1:14" s="394" customFormat="1" ht="19.5">
      <c r="A30" s="395" t="s">
        <v>341</v>
      </c>
      <c r="B30" s="392">
        <v>500</v>
      </c>
      <c r="C30" s="392">
        <f t="shared" si="3"/>
        <v>500</v>
      </c>
      <c r="D30" s="392">
        <f t="shared" si="3"/>
        <v>500</v>
      </c>
      <c r="E30" s="392">
        <f t="shared" si="3"/>
        <v>500</v>
      </c>
      <c r="F30" s="392">
        <f t="shared" si="3"/>
        <v>500</v>
      </c>
      <c r="G30" s="392">
        <f t="shared" si="3"/>
        <v>500</v>
      </c>
      <c r="H30" s="392">
        <f t="shared" si="3"/>
        <v>500</v>
      </c>
      <c r="I30" s="392">
        <f t="shared" si="3"/>
        <v>500</v>
      </c>
      <c r="J30" s="392">
        <f t="shared" si="3"/>
        <v>500</v>
      </c>
      <c r="K30" s="392">
        <f t="shared" si="3"/>
        <v>500</v>
      </c>
      <c r="L30" s="392">
        <f t="shared" si="3"/>
        <v>500</v>
      </c>
      <c r="M30" s="392">
        <f t="shared" si="3"/>
        <v>500</v>
      </c>
      <c r="N30" s="397">
        <f t="shared" si="4"/>
        <v>6000</v>
      </c>
    </row>
    <row r="31" spans="1:14" s="394" customFormat="1" ht="19.5">
      <c r="A31" s="395" t="s">
        <v>416</v>
      </c>
      <c r="B31" s="392">
        <v>1553.125</v>
      </c>
      <c r="C31" s="392">
        <f t="shared" ref="C31:M31" si="5">B31</f>
        <v>1553.125</v>
      </c>
      <c r="D31" s="392">
        <f t="shared" si="5"/>
        <v>1553.125</v>
      </c>
      <c r="E31" s="392">
        <f t="shared" si="5"/>
        <v>1553.125</v>
      </c>
      <c r="F31" s="392">
        <f t="shared" si="5"/>
        <v>1553.125</v>
      </c>
      <c r="G31" s="392">
        <f t="shared" si="5"/>
        <v>1553.125</v>
      </c>
      <c r="H31" s="392">
        <f t="shared" si="5"/>
        <v>1553.125</v>
      </c>
      <c r="I31" s="392">
        <f t="shared" si="5"/>
        <v>1553.125</v>
      </c>
      <c r="J31" s="392">
        <f t="shared" si="5"/>
        <v>1553.125</v>
      </c>
      <c r="K31" s="392">
        <f t="shared" si="5"/>
        <v>1553.125</v>
      </c>
      <c r="L31" s="392">
        <f t="shared" si="5"/>
        <v>1553.125</v>
      </c>
      <c r="M31" s="392">
        <f t="shared" si="5"/>
        <v>1553.125</v>
      </c>
      <c r="N31" s="397">
        <f t="shared" si="4"/>
        <v>18637.5</v>
      </c>
    </row>
    <row r="32" spans="1:14" s="394" customFormat="1" ht="19.5">
      <c r="A32" s="393" t="s">
        <v>417</v>
      </c>
      <c r="B32" s="393">
        <f>SUM(B14:B31)</f>
        <v>10238.457999999999</v>
      </c>
      <c r="C32" s="393">
        <f t="shared" ref="C32:M32" si="6">SUM(C14:C31)</f>
        <v>10238.457999999999</v>
      </c>
      <c r="D32" s="393">
        <f t="shared" si="6"/>
        <v>10238.457999999999</v>
      </c>
      <c r="E32" s="393">
        <f t="shared" si="6"/>
        <v>10238.457999999999</v>
      </c>
      <c r="F32" s="393">
        <f t="shared" si="6"/>
        <v>10238.457999999999</v>
      </c>
      <c r="G32" s="393">
        <f t="shared" si="6"/>
        <v>10238.457999999999</v>
      </c>
      <c r="H32" s="393">
        <f t="shared" si="6"/>
        <v>10238.457999999999</v>
      </c>
      <c r="I32" s="393">
        <f t="shared" si="6"/>
        <v>10238.457999999999</v>
      </c>
      <c r="J32" s="393">
        <f t="shared" si="6"/>
        <v>10238.457999999999</v>
      </c>
      <c r="K32" s="393">
        <f t="shared" si="6"/>
        <v>10238.457999999999</v>
      </c>
      <c r="L32" s="393">
        <f t="shared" si="6"/>
        <v>10238.457999999999</v>
      </c>
      <c r="M32" s="393">
        <f t="shared" si="6"/>
        <v>10238.457999999999</v>
      </c>
      <c r="N32" s="393">
        <f t="shared" si="4"/>
        <v>122861.49599999998</v>
      </c>
    </row>
    <row r="33" spans="1:14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400"/>
    </row>
    <row r="34" spans="1:14">
      <c r="A34" s="698" t="s">
        <v>418</v>
      </c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700"/>
    </row>
    <row r="35" spans="1:14" s="394" customFormat="1" ht="19.5">
      <c r="A35" s="391" t="s">
        <v>419</v>
      </c>
      <c r="B35" s="401">
        <v>6900</v>
      </c>
      <c r="C35" s="392">
        <v>6900</v>
      </c>
      <c r="D35" s="392">
        <v>6700</v>
      </c>
      <c r="E35" s="392">
        <v>7100</v>
      </c>
      <c r="F35" s="392">
        <v>6900</v>
      </c>
      <c r="G35" s="392">
        <v>6700</v>
      </c>
      <c r="H35" s="392">
        <v>9250</v>
      </c>
      <c r="I35" s="392">
        <v>6900</v>
      </c>
      <c r="J35" s="392">
        <v>7100</v>
      </c>
      <c r="K35" s="392">
        <v>6900</v>
      </c>
      <c r="L35" s="392">
        <v>6700</v>
      </c>
      <c r="M35" s="392">
        <v>8400</v>
      </c>
      <c r="N35" s="393">
        <f t="shared" ref="N35:N41" si="7">SUM(B35:M35)</f>
        <v>86450</v>
      </c>
    </row>
    <row r="36" spans="1:14" s="394" customFormat="1" ht="19.5">
      <c r="A36" s="395" t="s">
        <v>420</v>
      </c>
      <c r="B36" s="401">
        <v>0</v>
      </c>
      <c r="C36" s="392">
        <f t="shared" ref="C36:M40" si="8">B36</f>
        <v>0</v>
      </c>
      <c r="D36" s="392">
        <f t="shared" si="8"/>
        <v>0</v>
      </c>
      <c r="E36" s="392">
        <f t="shared" si="8"/>
        <v>0</v>
      </c>
      <c r="F36" s="392">
        <f t="shared" si="8"/>
        <v>0</v>
      </c>
      <c r="G36" s="392">
        <f t="shared" si="8"/>
        <v>0</v>
      </c>
      <c r="H36" s="392">
        <f t="shared" si="8"/>
        <v>0</v>
      </c>
      <c r="I36" s="392">
        <f t="shared" si="8"/>
        <v>0</v>
      </c>
      <c r="J36" s="392">
        <f t="shared" si="8"/>
        <v>0</v>
      </c>
      <c r="K36" s="392">
        <f t="shared" si="8"/>
        <v>0</v>
      </c>
      <c r="L36" s="392">
        <f t="shared" si="8"/>
        <v>0</v>
      </c>
      <c r="M36" s="392">
        <f t="shared" si="8"/>
        <v>0</v>
      </c>
      <c r="N36" s="393">
        <f t="shared" si="7"/>
        <v>0</v>
      </c>
    </row>
    <row r="37" spans="1:14" s="394" customFormat="1" ht="19.5">
      <c r="A37" s="391" t="s">
        <v>421</v>
      </c>
      <c r="B37" s="401">
        <v>0</v>
      </c>
      <c r="C37" s="392">
        <f t="shared" si="8"/>
        <v>0</v>
      </c>
      <c r="D37" s="392">
        <f t="shared" si="8"/>
        <v>0</v>
      </c>
      <c r="E37" s="392">
        <f t="shared" si="8"/>
        <v>0</v>
      </c>
      <c r="F37" s="392">
        <f t="shared" si="8"/>
        <v>0</v>
      </c>
      <c r="G37" s="392">
        <f t="shared" si="8"/>
        <v>0</v>
      </c>
      <c r="H37" s="392">
        <f t="shared" si="8"/>
        <v>0</v>
      </c>
      <c r="I37" s="392">
        <f t="shared" si="8"/>
        <v>0</v>
      </c>
      <c r="J37" s="392">
        <f t="shared" si="8"/>
        <v>0</v>
      </c>
      <c r="K37" s="392">
        <f t="shared" si="8"/>
        <v>0</v>
      </c>
      <c r="L37" s="392">
        <f t="shared" si="8"/>
        <v>0</v>
      </c>
      <c r="M37" s="392">
        <f t="shared" si="8"/>
        <v>0</v>
      </c>
      <c r="N37" s="393">
        <f t="shared" si="7"/>
        <v>0</v>
      </c>
    </row>
    <row r="38" spans="1:14" s="394" customFormat="1" ht="19.5">
      <c r="A38" s="395" t="s">
        <v>422</v>
      </c>
      <c r="B38" s="401">
        <v>0</v>
      </c>
      <c r="C38" s="392">
        <f t="shared" si="8"/>
        <v>0</v>
      </c>
      <c r="D38" s="392">
        <f t="shared" si="8"/>
        <v>0</v>
      </c>
      <c r="E38" s="392">
        <f t="shared" si="8"/>
        <v>0</v>
      </c>
      <c r="F38" s="392">
        <f t="shared" si="8"/>
        <v>0</v>
      </c>
      <c r="G38" s="392">
        <f t="shared" si="8"/>
        <v>0</v>
      </c>
      <c r="H38" s="392">
        <f t="shared" si="8"/>
        <v>0</v>
      </c>
      <c r="I38" s="392">
        <f t="shared" si="8"/>
        <v>0</v>
      </c>
      <c r="J38" s="392">
        <f t="shared" si="8"/>
        <v>0</v>
      </c>
      <c r="K38" s="392">
        <f t="shared" si="8"/>
        <v>0</v>
      </c>
      <c r="L38" s="392">
        <f t="shared" si="8"/>
        <v>0</v>
      </c>
      <c r="M38" s="392">
        <f t="shared" si="8"/>
        <v>0</v>
      </c>
      <c r="N38" s="393">
        <f t="shared" si="7"/>
        <v>0</v>
      </c>
    </row>
    <row r="39" spans="1:14" s="394" customFormat="1" ht="19.5">
      <c r="A39" s="391"/>
      <c r="B39" s="401">
        <v>0</v>
      </c>
      <c r="C39" s="392">
        <f t="shared" si="8"/>
        <v>0</v>
      </c>
      <c r="D39" s="392">
        <f t="shared" si="8"/>
        <v>0</v>
      </c>
      <c r="E39" s="392">
        <f t="shared" si="8"/>
        <v>0</v>
      </c>
      <c r="F39" s="392">
        <f t="shared" si="8"/>
        <v>0</v>
      </c>
      <c r="G39" s="392">
        <f t="shared" si="8"/>
        <v>0</v>
      </c>
      <c r="H39" s="392">
        <f t="shared" si="8"/>
        <v>0</v>
      </c>
      <c r="I39" s="392">
        <f t="shared" si="8"/>
        <v>0</v>
      </c>
      <c r="J39" s="392">
        <f t="shared" si="8"/>
        <v>0</v>
      </c>
      <c r="K39" s="392">
        <f t="shared" si="8"/>
        <v>0</v>
      </c>
      <c r="L39" s="392">
        <f t="shared" si="8"/>
        <v>0</v>
      </c>
      <c r="M39" s="392">
        <f t="shared" si="8"/>
        <v>0</v>
      </c>
      <c r="N39" s="393">
        <f t="shared" si="7"/>
        <v>0</v>
      </c>
    </row>
    <row r="40" spans="1:14" s="394" customFormat="1" ht="19.5">
      <c r="A40" s="395"/>
      <c r="B40" s="401">
        <v>0</v>
      </c>
      <c r="C40" s="392">
        <f t="shared" si="8"/>
        <v>0</v>
      </c>
      <c r="D40" s="392">
        <f t="shared" si="8"/>
        <v>0</v>
      </c>
      <c r="E40" s="392">
        <f t="shared" si="8"/>
        <v>0</v>
      </c>
      <c r="F40" s="392">
        <f t="shared" si="8"/>
        <v>0</v>
      </c>
      <c r="G40" s="392">
        <f t="shared" si="8"/>
        <v>0</v>
      </c>
      <c r="H40" s="392">
        <f t="shared" si="8"/>
        <v>0</v>
      </c>
      <c r="I40" s="392">
        <f t="shared" si="8"/>
        <v>0</v>
      </c>
      <c r="J40" s="392">
        <f t="shared" si="8"/>
        <v>0</v>
      </c>
      <c r="K40" s="392">
        <f t="shared" si="8"/>
        <v>0</v>
      </c>
      <c r="L40" s="392">
        <f t="shared" si="8"/>
        <v>0</v>
      </c>
      <c r="M40" s="392">
        <f t="shared" si="8"/>
        <v>0</v>
      </c>
      <c r="N40" s="393">
        <f t="shared" si="7"/>
        <v>0</v>
      </c>
    </row>
    <row r="41" spans="1:14" s="394" customFormat="1" ht="19.5">
      <c r="A41" s="393" t="s">
        <v>423</v>
      </c>
      <c r="B41" s="393">
        <f t="shared" ref="B41:M41" si="9">SUM(B35:B40)</f>
        <v>6900</v>
      </c>
      <c r="C41" s="393">
        <f t="shared" si="9"/>
        <v>6900</v>
      </c>
      <c r="D41" s="393">
        <f t="shared" si="9"/>
        <v>6700</v>
      </c>
      <c r="E41" s="393">
        <f t="shared" si="9"/>
        <v>7100</v>
      </c>
      <c r="F41" s="393">
        <f t="shared" si="9"/>
        <v>6900</v>
      </c>
      <c r="G41" s="393">
        <f t="shared" si="9"/>
        <v>6700</v>
      </c>
      <c r="H41" s="393">
        <f t="shared" si="9"/>
        <v>9250</v>
      </c>
      <c r="I41" s="393">
        <f t="shared" si="9"/>
        <v>6900</v>
      </c>
      <c r="J41" s="393">
        <f t="shared" si="9"/>
        <v>7100</v>
      </c>
      <c r="K41" s="393">
        <f t="shared" si="9"/>
        <v>6900</v>
      </c>
      <c r="L41" s="393">
        <f t="shared" si="9"/>
        <v>6700</v>
      </c>
      <c r="M41" s="393">
        <f t="shared" si="9"/>
        <v>8400</v>
      </c>
      <c r="N41" s="393">
        <f t="shared" si="7"/>
        <v>86450</v>
      </c>
    </row>
    <row r="42" spans="1:14">
      <c r="A42" s="398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400"/>
    </row>
    <row r="43" spans="1:14">
      <c r="A43" s="698" t="s">
        <v>424</v>
      </c>
      <c r="B43" s="699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700"/>
    </row>
    <row r="44" spans="1:14" s="394" customFormat="1" ht="19.5">
      <c r="A44" s="391" t="s">
        <v>425</v>
      </c>
      <c r="B44" s="401">
        <v>30</v>
      </c>
      <c r="C44" s="392">
        <f t="shared" ref="C44:M50" si="10">B44</f>
        <v>30</v>
      </c>
      <c r="D44" s="392">
        <f t="shared" si="10"/>
        <v>30</v>
      </c>
      <c r="E44" s="392">
        <f t="shared" si="10"/>
        <v>30</v>
      </c>
      <c r="F44" s="392">
        <f t="shared" si="10"/>
        <v>30</v>
      </c>
      <c r="G44" s="392">
        <f t="shared" si="10"/>
        <v>30</v>
      </c>
      <c r="H44" s="392">
        <f t="shared" si="10"/>
        <v>30</v>
      </c>
      <c r="I44" s="392">
        <f t="shared" si="10"/>
        <v>30</v>
      </c>
      <c r="J44" s="392">
        <f t="shared" si="10"/>
        <v>30</v>
      </c>
      <c r="K44" s="392">
        <f t="shared" si="10"/>
        <v>30</v>
      </c>
      <c r="L44" s="392">
        <f t="shared" si="10"/>
        <v>30</v>
      </c>
      <c r="M44" s="392">
        <f t="shared" si="10"/>
        <v>30</v>
      </c>
      <c r="N44" s="393">
        <f t="shared" ref="N44:N51" si="11">SUM(B44:M44)</f>
        <v>360</v>
      </c>
    </row>
    <row r="45" spans="1:14" s="394" customFormat="1" ht="19.5">
      <c r="A45" s="395" t="s">
        <v>426</v>
      </c>
      <c r="B45" s="401">
        <v>30</v>
      </c>
      <c r="C45" s="392">
        <f t="shared" si="10"/>
        <v>30</v>
      </c>
      <c r="D45" s="392">
        <f t="shared" si="10"/>
        <v>30</v>
      </c>
      <c r="E45" s="392">
        <f t="shared" si="10"/>
        <v>30</v>
      </c>
      <c r="F45" s="392">
        <f t="shared" si="10"/>
        <v>30</v>
      </c>
      <c r="G45" s="392">
        <f t="shared" si="10"/>
        <v>30</v>
      </c>
      <c r="H45" s="392">
        <f t="shared" si="10"/>
        <v>30</v>
      </c>
      <c r="I45" s="392">
        <f t="shared" si="10"/>
        <v>30</v>
      </c>
      <c r="J45" s="392">
        <f t="shared" si="10"/>
        <v>30</v>
      </c>
      <c r="K45" s="392">
        <f t="shared" si="10"/>
        <v>30</v>
      </c>
      <c r="L45" s="392">
        <f t="shared" si="10"/>
        <v>30</v>
      </c>
      <c r="M45" s="392">
        <f t="shared" si="10"/>
        <v>30</v>
      </c>
      <c r="N45" s="393">
        <f t="shared" si="11"/>
        <v>360</v>
      </c>
    </row>
    <row r="46" spans="1:14" s="394" customFormat="1" ht="19.5">
      <c r="A46" s="391" t="s">
        <v>427</v>
      </c>
      <c r="B46" s="401">
        <v>100</v>
      </c>
      <c r="C46" s="392">
        <f t="shared" si="10"/>
        <v>100</v>
      </c>
      <c r="D46" s="392">
        <f t="shared" si="10"/>
        <v>100</v>
      </c>
      <c r="E46" s="392">
        <f t="shared" si="10"/>
        <v>100</v>
      </c>
      <c r="F46" s="392">
        <f t="shared" si="10"/>
        <v>100</v>
      </c>
      <c r="G46" s="392">
        <f t="shared" si="10"/>
        <v>100</v>
      </c>
      <c r="H46" s="392">
        <f t="shared" si="10"/>
        <v>100</v>
      </c>
      <c r="I46" s="392">
        <f t="shared" si="10"/>
        <v>100</v>
      </c>
      <c r="J46" s="392">
        <f t="shared" si="10"/>
        <v>100</v>
      </c>
      <c r="K46" s="392">
        <f t="shared" si="10"/>
        <v>100</v>
      </c>
      <c r="L46" s="392">
        <f t="shared" si="10"/>
        <v>100</v>
      </c>
      <c r="M46" s="392">
        <f t="shared" si="10"/>
        <v>100</v>
      </c>
      <c r="N46" s="393">
        <f t="shared" si="11"/>
        <v>1200</v>
      </c>
    </row>
    <row r="47" spans="1:14" s="394" customFormat="1" ht="19.5">
      <c r="A47" s="395" t="s">
        <v>275</v>
      </c>
      <c r="B47" s="401">
        <v>1800</v>
      </c>
      <c r="C47" s="392">
        <f t="shared" si="10"/>
        <v>1800</v>
      </c>
      <c r="D47" s="392">
        <f t="shared" si="10"/>
        <v>1800</v>
      </c>
      <c r="E47" s="392">
        <f t="shared" si="10"/>
        <v>1800</v>
      </c>
      <c r="F47" s="392">
        <f t="shared" si="10"/>
        <v>1800</v>
      </c>
      <c r="G47" s="392">
        <f t="shared" si="10"/>
        <v>1800</v>
      </c>
      <c r="H47" s="392">
        <f t="shared" si="10"/>
        <v>1800</v>
      </c>
      <c r="I47" s="392">
        <f t="shared" si="10"/>
        <v>1800</v>
      </c>
      <c r="J47" s="392">
        <f t="shared" si="10"/>
        <v>1800</v>
      </c>
      <c r="K47" s="392">
        <f t="shared" si="10"/>
        <v>1800</v>
      </c>
      <c r="L47" s="392">
        <f t="shared" si="10"/>
        <v>1800</v>
      </c>
      <c r="M47" s="392">
        <f t="shared" si="10"/>
        <v>1800</v>
      </c>
      <c r="N47" s="393">
        <f t="shared" si="11"/>
        <v>21600</v>
      </c>
    </row>
    <row r="48" spans="1:14" s="394" customFormat="1" ht="19.5">
      <c r="A48" s="391" t="s">
        <v>428</v>
      </c>
      <c r="B48" s="401">
        <v>691</v>
      </c>
      <c r="C48" s="392">
        <v>691</v>
      </c>
      <c r="D48" s="392">
        <v>671</v>
      </c>
      <c r="E48" s="392">
        <v>710</v>
      </c>
      <c r="F48" s="392">
        <v>691</v>
      </c>
      <c r="G48" s="392">
        <v>671</v>
      </c>
      <c r="H48" s="392">
        <v>918</v>
      </c>
      <c r="I48" s="392">
        <v>691</v>
      </c>
      <c r="J48" s="392">
        <v>710</v>
      </c>
      <c r="K48" s="392">
        <v>691</v>
      </c>
      <c r="L48" s="392">
        <v>671</v>
      </c>
      <c r="M48" s="392">
        <v>836</v>
      </c>
      <c r="N48" s="393">
        <f t="shared" si="11"/>
        <v>8642</v>
      </c>
    </row>
    <row r="49" spans="1:15" s="394" customFormat="1" ht="19.5">
      <c r="A49" s="395" t="s">
        <v>276</v>
      </c>
      <c r="B49" s="401">
        <f t="shared" ref="B49:M49" si="12">SUM(B28+B31+B35)*0.0859</f>
        <v>1227.2067422</v>
      </c>
      <c r="C49" s="401">
        <f t="shared" si="12"/>
        <v>1227.2067422</v>
      </c>
      <c r="D49" s="401">
        <f t="shared" si="12"/>
        <v>1210.0267421999999</v>
      </c>
      <c r="E49" s="401">
        <f t="shared" si="12"/>
        <v>1244.3867421999998</v>
      </c>
      <c r="F49" s="401">
        <f t="shared" si="12"/>
        <v>1227.2067422</v>
      </c>
      <c r="G49" s="401">
        <f t="shared" si="12"/>
        <v>1210.0267421999999</v>
      </c>
      <c r="H49" s="401">
        <f t="shared" si="12"/>
        <v>1429.0717422</v>
      </c>
      <c r="I49" s="401">
        <f t="shared" si="12"/>
        <v>1227.2067422</v>
      </c>
      <c r="J49" s="401">
        <f t="shared" si="12"/>
        <v>1244.3867421999998</v>
      </c>
      <c r="K49" s="401">
        <f t="shared" si="12"/>
        <v>1227.2067422</v>
      </c>
      <c r="L49" s="401">
        <f t="shared" si="12"/>
        <v>1210.0267421999999</v>
      </c>
      <c r="M49" s="401">
        <f t="shared" si="12"/>
        <v>1356.0567421999999</v>
      </c>
      <c r="N49" s="393">
        <f t="shared" ref="N49" si="13">SUM(B49:M49)</f>
        <v>15040.0159064</v>
      </c>
    </row>
    <row r="50" spans="1:15" s="394" customFormat="1" ht="19.5">
      <c r="A50" s="395" t="s">
        <v>429</v>
      </c>
      <c r="B50" s="401">
        <v>0</v>
      </c>
      <c r="C50" s="392">
        <f t="shared" si="10"/>
        <v>0</v>
      </c>
      <c r="D50" s="392">
        <f t="shared" si="10"/>
        <v>0</v>
      </c>
      <c r="E50" s="392">
        <f t="shared" si="10"/>
        <v>0</v>
      </c>
      <c r="F50" s="392">
        <f t="shared" si="10"/>
        <v>0</v>
      </c>
      <c r="G50" s="392">
        <f t="shared" si="10"/>
        <v>0</v>
      </c>
      <c r="H50" s="392">
        <f t="shared" si="10"/>
        <v>0</v>
      </c>
      <c r="I50" s="392">
        <f t="shared" si="10"/>
        <v>0</v>
      </c>
      <c r="J50" s="392">
        <f t="shared" si="10"/>
        <v>0</v>
      </c>
      <c r="K50" s="392">
        <f t="shared" si="10"/>
        <v>0</v>
      </c>
      <c r="L50" s="392">
        <f t="shared" si="10"/>
        <v>0</v>
      </c>
      <c r="M50" s="392">
        <f t="shared" si="10"/>
        <v>0</v>
      </c>
      <c r="N50" s="393">
        <f t="shared" si="11"/>
        <v>0</v>
      </c>
    </row>
    <row r="51" spans="1:15" s="394" customFormat="1" ht="19.5">
      <c r="A51" s="393" t="s">
        <v>430</v>
      </c>
      <c r="B51" s="393">
        <f>SUM(B44:B50)</f>
        <v>3878.2067422</v>
      </c>
      <c r="C51" s="393">
        <f>SUM(C44:C50)</f>
        <v>3878.2067422</v>
      </c>
      <c r="D51" s="393">
        <f t="shared" ref="D51:M51" si="14">SUM(D44:D50)</f>
        <v>3841.0267421999997</v>
      </c>
      <c r="E51" s="393">
        <f t="shared" si="14"/>
        <v>3914.3867421999998</v>
      </c>
      <c r="F51" s="393">
        <f t="shared" si="14"/>
        <v>3878.2067422</v>
      </c>
      <c r="G51" s="393">
        <f t="shared" si="14"/>
        <v>3841.0267421999997</v>
      </c>
      <c r="H51" s="393">
        <f t="shared" si="14"/>
        <v>4307.0717421999998</v>
      </c>
      <c r="I51" s="393">
        <f t="shared" si="14"/>
        <v>3878.2067422</v>
      </c>
      <c r="J51" s="393">
        <f t="shared" si="14"/>
        <v>3914.3867421999998</v>
      </c>
      <c r="K51" s="393">
        <f t="shared" si="14"/>
        <v>3878.2067422</v>
      </c>
      <c r="L51" s="393">
        <f t="shared" si="14"/>
        <v>3841.0267421999997</v>
      </c>
      <c r="M51" s="393">
        <f t="shared" si="14"/>
        <v>4152.0567422000004</v>
      </c>
      <c r="N51" s="393">
        <f t="shared" si="11"/>
        <v>47202.015906400004</v>
      </c>
      <c r="O51" s="433">
        <f>N51-N49-N47</f>
        <v>10562.000000000004</v>
      </c>
    </row>
    <row r="52" spans="1:15">
      <c r="A52" s="398"/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400"/>
    </row>
    <row r="53" spans="1:15">
      <c r="A53" s="698" t="s">
        <v>431</v>
      </c>
      <c r="B53" s="699"/>
      <c r="C53" s="699"/>
      <c r="D53" s="699"/>
      <c r="E53" s="699"/>
      <c r="F53" s="699"/>
      <c r="G53" s="699"/>
      <c r="H53" s="699"/>
      <c r="I53" s="699"/>
      <c r="J53" s="699"/>
      <c r="K53" s="699"/>
      <c r="L53" s="699"/>
      <c r="M53" s="699"/>
      <c r="N53" s="700"/>
    </row>
    <row r="54" spans="1:15" s="394" customFormat="1" ht="19.5">
      <c r="A54" s="429" t="s">
        <v>432</v>
      </c>
      <c r="B54" s="431">
        <v>2000</v>
      </c>
      <c r="C54" s="431">
        <f t="shared" ref="C54:M61" si="15">B54</f>
        <v>2000</v>
      </c>
      <c r="D54" s="431">
        <f t="shared" si="15"/>
        <v>2000</v>
      </c>
      <c r="E54" s="431">
        <f t="shared" si="15"/>
        <v>2000</v>
      </c>
      <c r="F54" s="431">
        <f t="shared" si="15"/>
        <v>2000</v>
      </c>
      <c r="G54" s="431">
        <f t="shared" si="15"/>
        <v>2000</v>
      </c>
      <c r="H54" s="431">
        <f t="shared" si="15"/>
        <v>2000</v>
      </c>
      <c r="I54" s="431">
        <f t="shared" si="15"/>
        <v>2000</v>
      </c>
      <c r="J54" s="431">
        <f t="shared" si="15"/>
        <v>2000</v>
      </c>
      <c r="K54" s="431">
        <f t="shared" si="15"/>
        <v>2000</v>
      </c>
      <c r="L54" s="431">
        <f t="shared" si="15"/>
        <v>2000</v>
      </c>
      <c r="M54" s="431">
        <f t="shared" si="15"/>
        <v>2000</v>
      </c>
      <c r="N54" s="432">
        <f>SUM(B54:M54)</f>
        <v>24000</v>
      </c>
    </row>
    <row r="55" spans="1:15" s="394" customFormat="1" ht="19.5">
      <c r="A55" s="395" t="s">
        <v>244</v>
      </c>
      <c r="B55" s="401">
        <v>975</v>
      </c>
      <c r="C55" s="392">
        <f t="shared" si="15"/>
        <v>975</v>
      </c>
      <c r="D55" s="392">
        <f t="shared" si="15"/>
        <v>975</v>
      </c>
      <c r="E55" s="392">
        <f t="shared" si="15"/>
        <v>975</v>
      </c>
      <c r="F55" s="392">
        <f t="shared" si="15"/>
        <v>975</v>
      </c>
      <c r="G55" s="392">
        <f t="shared" si="15"/>
        <v>975</v>
      </c>
      <c r="H55" s="392">
        <f t="shared" si="15"/>
        <v>975</v>
      </c>
      <c r="I55" s="392">
        <f t="shared" si="15"/>
        <v>975</v>
      </c>
      <c r="J55" s="392">
        <f t="shared" si="15"/>
        <v>975</v>
      </c>
      <c r="K55" s="392">
        <f t="shared" si="15"/>
        <v>975</v>
      </c>
      <c r="L55" s="392">
        <f t="shared" si="15"/>
        <v>975</v>
      </c>
      <c r="M55" s="392">
        <f t="shared" si="15"/>
        <v>975</v>
      </c>
      <c r="N55" s="393">
        <f t="shared" ref="N55:N58" si="16">SUM(B55:M55)</f>
        <v>11700</v>
      </c>
    </row>
    <row r="56" spans="1:15" s="394" customFormat="1" ht="19.5">
      <c r="A56" s="402" t="s">
        <v>408</v>
      </c>
      <c r="B56" s="401">
        <v>760</v>
      </c>
      <c r="C56" s="392">
        <f t="shared" si="15"/>
        <v>760</v>
      </c>
      <c r="D56" s="392">
        <f t="shared" si="15"/>
        <v>760</v>
      </c>
      <c r="E56" s="392">
        <f t="shared" si="15"/>
        <v>760</v>
      </c>
      <c r="F56" s="392">
        <f t="shared" si="15"/>
        <v>760</v>
      </c>
      <c r="G56" s="392">
        <f t="shared" si="15"/>
        <v>760</v>
      </c>
      <c r="H56" s="392">
        <f t="shared" si="15"/>
        <v>760</v>
      </c>
      <c r="I56" s="392">
        <f t="shared" si="15"/>
        <v>760</v>
      </c>
      <c r="J56" s="392">
        <f t="shared" si="15"/>
        <v>760</v>
      </c>
      <c r="K56" s="392">
        <f t="shared" si="15"/>
        <v>760</v>
      </c>
      <c r="L56" s="392">
        <f t="shared" si="15"/>
        <v>760</v>
      </c>
      <c r="M56" s="392">
        <f t="shared" si="15"/>
        <v>760</v>
      </c>
      <c r="N56" s="393">
        <f t="shared" si="16"/>
        <v>9120</v>
      </c>
    </row>
    <row r="57" spans="1:15" s="394" customFormat="1" ht="19.5">
      <c r="A57" s="395" t="s">
        <v>433</v>
      </c>
      <c r="B57" s="401">
        <v>300</v>
      </c>
      <c r="C57" s="392">
        <f t="shared" si="15"/>
        <v>300</v>
      </c>
      <c r="D57" s="392">
        <f t="shared" si="15"/>
        <v>300</v>
      </c>
      <c r="E57" s="392">
        <f t="shared" si="15"/>
        <v>300</v>
      </c>
      <c r="F57" s="392">
        <f t="shared" si="15"/>
        <v>300</v>
      </c>
      <c r="G57" s="392">
        <f t="shared" si="15"/>
        <v>300</v>
      </c>
      <c r="H57" s="392">
        <f t="shared" si="15"/>
        <v>300</v>
      </c>
      <c r="I57" s="392">
        <f t="shared" si="15"/>
        <v>300</v>
      </c>
      <c r="J57" s="392">
        <f t="shared" si="15"/>
        <v>300</v>
      </c>
      <c r="K57" s="392">
        <f t="shared" si="15"/>
        <v>300</v>
      </c>
      <c r="L57" s="392">
        <f t="shared" si="15"/>
        <v>300</v>
      </c>
      <c r="M57" s="392">
        <f t="shared" si="15"/>
        <v>300</v>
      </c>
      <c r="N57" s="393">
        <f t="shared" si="16"/>
        <v>3600</v>
      </c>
    </row>
    <row r="58" spans="1:15" s="394" customFormat="1" ht="19.5">
      <c r="A58" s="395" t="s">
        <v>434</v>
      </c>
      <c r="B58" s="401">
        <v>350</v>
      </c>
      <c r="C58" s="392">
        <f t="shared" si="15"/>
        <v>350</v>
      </c>
      <c r="D58" s="392">
        <f t="shared" si="15"/>
        <v>350</v>
      </c>
      <c r="E58" s="392">
        <f t="shared" si="15"/>
        <v>350</v>
      </c>
      <c r="F58" s="392">
        <f t="shared" si="15"/>
        <v>350</v>
      </c>
      <c r="G58" s="392">
        <f t="shared" si="15"/>
        <v>350</v>
      </c>
      <c r="H58" s="392">
        <f t="shared" si="15"/>
        <v>350</v>
      </c>
      <c r="I58" s="392">
        <f t="shared" si="15"/>
        <v>350</v>
      </c>
      <c r="J58" s="392">
        <f t="shared" si="15"/>
        <v>350</v>
      </c>
      <c r="K58" s="392">
        <f t="shared" si="15"/>
        <v>350</v>
      </c>
      <c r="L58" s="392">
        <f t="shared" si="15"/>
        <v>350</v>
      </c>
      <c r="M58" s="392">
        <f t="shared" si="15"/>
        <v>350</v>
      </c>
      <c r="N58" s="393">
        <f t="shared" si="16"/>
        <v>4200</v>
      </c>
    </row>
    <row r="59" spans="1:15" s="394" customFormat="1" ht="19.5">
      <c r="A59" s="403" t="s">
        <v>435</v>
      </c>
      <c r="B59" s="401">
        <v>200</v>
      </c>
      <c r="C59" s="392">
        <f t="shared" si="15"/>
        <v>200</v>
      </c>
      <c r="D59" s="392">
        <f t="shared" si="15"/>
        <v>200</v>
      </c>
      <c r="E59" s="392">
        <f t="shared" si="15"/>
        <v>200</v>
      </c>
      <c r="F59" s="392">
        <f t="shared" si="15"/>
        <v>200</v>
      </c>
      <c r="G59" s="392">
        <f t="shared" si="15"/>
        <v>200</v>
      </c>
      <c r="H59" s="392">
        <f t="shared" si="15"/>
        <v>200</v>
      </c>
      <c r="I59" s="392">
        <f t="shared" si="15"/>
        <v>200</v>
      </c>
      <c r="J59" s="392">
        <f t="shared" si="15"/>
        <v>200</v>
      </c>
      <c r="K59" s="392">
        <f t="shared" si="15"/>
        <v>200</v>
      </c>
      <c r="L59" s="392">
        <f t="shared" si="15"/>
        <v>200</v>
      </c>
      <c r="M59" s="392">
        <f t="shared" si="15"/>
        <v>200</v>
      </c>
      <c r="N59" s="393">
        <f>SUM(B59:M59)</f>
        <v>2400</v>
      </c>
    </row>
    <row r="60" spans="1:15" s="394" customFormat="1" ht="19.5">
      <c r="A60" s="391" t="s">
        <v>436</v>
      </c>
      <c r="B60" s="401">
        <v>0</v>
      </c>
      <c r="C60" s="392">
        <f t="shared" si="15"/>
        <v>0</v>
      </c>
      <c r="D60" s="392">
        <f t="shared" si="15"/>
        <v>0</v>
      </c>
      <c r="E60" s="392">
        <f t="shared" si="15"/>
        <v>0</v>
      </c>
      <c r="F60" s="392">
        <f t="shared" si="15"/>
        <v>0</v>
      </c>
      <c r="G60" s="392">
        <f t="shared" si="15"/>
        <v>0</v>
      </c>
      <c r="H60" s="392">
        <f t="shared" si="15"/>
        <v>0</v>
      </c>
      <c r="I60" s="392">
        <f t="shared" si="15"/>
        <v>0</v>
      </c>
      <c r="J60" s="392">
        <f t="shared" si="15"/>
        <v>0</v>
      </c>
      <c r="K60" s="392">
        <f t="shared" si="15"/>
        <v>0</v>
      </c>
      <c r="L60" s="392">
        <f t="shared" si="15"/>
        <v>0</v>
      </c>
      <c r="M60" s="392">
        <f t="shared" si="15"/>
        <v>0</v>
      </c>
      <c r="N60" s="393">
        <f>SUM(B60:M60)</f>
        <v>0</v>
      </c>
    </row>
    <row r="61" spans="1:15" s="394" customFormat="1" ht="19.5">
      <c r="A61" s="395"/>
      <c r="B61" s="401">
        <v>0</v>
      </c>
      <c r="C61" s="392">
        <f t="shared" si="15"/>
        <v>0</v>
      </c>
      <c r="D61" s="392">
        <f t="shared" si="15"/>
        <v>0</v>
      </c>
      <c r="E61" s="392">
        <f t="shared" si="15"/>
        <v>0</v>
      </c>
      <c r="F61" s="392">
        <f t="shared" si="15"/>
        <v>0</v>
      </c>
      <c r="G61" s="392">
        <f t="shared" si="15"/>
        <v>0</v>
      </c>
      <c r="H61" s="392">
        <f t="shared" si="15"/>
        <v>0</v>
      </c>
      <c r="I61" s="392">
        <f t="shared" si="15"/>
        <v>0</v>
      </c>
      <c r="J61" s="392">
        <f t="shared" si="15"/>
        <v>0</v>
      </c>
      <c r="K61" s="392">
        <f t="shared" si="15"/>
        <v>0</v>
      </c>
      <c r="L61" s="392">
        <f t="shared" si="15"/>
        <v>0</v>
      </c>
      <c r="M61" s="392">
        <f t="shared" si="15"/>
        <v>0</v>
      </c>
      <c r="N61" s="397">
        <f>SUM(B61:M61)</f>
        <v>0</v>
      </c>
    </row>
    <row r="62" spans="1:15" s="394" customFormat="1" ht="19.5">
      <c r="A62" s="393" t="s">
        <v>437</v>
      </c>
      <c r="B62" s="393">
        <f t="shared" ref="B62:M62" si="17">SUM(B54:B61)</f>
        <v>4585</v>
      </c>
      <c r="C62" s="393">
        <f t="shared" si="17"/>
        <v>4585</v>
      </c>
      <c r="D62" s="393">
        <f t="shared" si="17"/>
        <v>4585</v>
      </c>
      <c r="E62" s="393">
        <f t="shared" si="17"/>
        <v>4585</v>
      </c>
      <c r="F62" s="393">
        <f t="shared" si="17"/>
        <v>4585</v>
      </c>
      <c r="G62" s="393">
        <f t="shared" si="17"/>
        <v>4585</v>
      </c>
      <c r="H62" s="393">
        <f t="shared" si="17"/>
        <v>4585</v>
      </c>
      <c r="I62" s="393">
        <f t="shared" si="17"/>
        <v>4585</v>
      </c>
      <c r="J62" s="393">
        <f t="shared" si="17"/>
        <v>4585</v>
      </c>
      <c r="K62" s="393">
        <f t="shared" si="17"/>
        <v>4585</v>
      </c>
      <c r="L62" s="393">
        <f t="shared" si="17"/>
        <v>4585</v>
      </c>
      <c r="M62" s="393">
        <f t="shared" si="17"/>
        <v>4585</v>
      </c>
      <c r="N62" s="393">
        <f>SUM(B62:M62)</f>
        <v>55020</v>
      </c>
      <c r="O62" s="433">
        <f>N62-N54-N56</f>
        <v>21900</v>
      </c>
    </row>
    <row r="63" spans="1:15">
      <c r="A63" s="398"/>
      <c r="B63" s="399"/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400"/>
    </row>
    <row r="64" spans="1:15">
      <c r="A64" s="698" t="s">
        <v>438</v>
      </c>
      <c r="B64" s="699"/>
      <c r="C64" s="699"/>
      <c r="D64" s="699"/>
      <c r="E64" s="699"/>
      <c r="F64" s="699"/>
      <c r="G64" s="699"/>
      <c r="H64" s="699"/>
      <c r="I64" s="699"/>
      <c r="J64" s="699"/>
      <c r="K64" s="699"/>
      <c r="L64" s="699"/>
      <c r="M64" s="699"/>
      <c r="N64" s="700"/>
    </row>
    <row r="65" spans="1:15" s="394" customFormat="1" ht="19.5">
      <c r="A65" s="391" t="s">
        <v>439</v>
      </c>
      <c r="B65" s="404">
        <v>220</v>
      </c>
      <c r="C65" s="392">
        <f t="shared" ref="C65:M71" si="18">B65</f>
        <v>220</v>
      </c>
      <c r="D65" s="392">
        <f t="shared" si="18"/>
        <v>220</v>
      </c>
      <c r="E65" s="392">
        <f t="shared" si="18"/>
        <v>220</v>
      </c>
      <c r="F65" s="392">
        <f t="shared" si="18"/>
        <v>220</v>
      </c>
      <c r="G65" s="392">
        <f t="shared" si="18"/>
        <v>220</v>
      </c>
      <c r="H65" s="392">
        <f t="shared" si="18"/>
        <v>220</v>
      </c>
      <c r="I65" s="392">
        <f t="shared" si="18"/>
        <v>220</v>
      </c>
      <c r="J65" s="392">
        <f t="shared" si="18"/>
        <v>220</v>
      </c>
      <c r="K65" s="392">
        <f t="shared" si="18"/>
        <v>220</v>
      </c>
      <c r="L65" s="392">
        <f t="shared" si="18"/>
        <v>220</v>
      </c>
      <c r="M65" s="392">
        <f t="shared" si="18"/>
        <v>220</v>
      </c>
      <c r="N65" s="393">
        <f t="shared" ref="N65:N72" si="19">SUM(B65:M65)</f>
        <v>2640</v>
      </c>
    </row>
    <row r="66" spans="1:15" s="394" customFormat="1" ht="19.5">
      <c r="A66" s="429" t="s">
        <v>440</v>
      </c>
      <c r="B66" s="430">
        <v>1300</v>
      </c>
      <c r="C66" s="431">
        <f t="shared" si="18"/>
        <v>1300</v>
      </c>
      <c r="D66" s="431">
        <f t="shared" si="18"/>
        <v>1300</v>
      </c>
      <c r="E66" s="431">
        <f t="shared" si="18"/>
        <v>1300</v>
      </c>
      <c r="F66" s="431">
        <f t="shared" si="18"/>
        <v>1300</v>
      </c>
      <c r="G66" s="431">
        <f t="shared" si="18"/>
        <v>1300</v>
      </c>
      <c r="H66" s="431">
        <f t="shared" si="18"/>
        <v>1300</v>
      </c>
      <c r="I66" s="431">
        <f t="shared" si="18"/>
        <v>1300</v>
      </c>
      <c r="J66" s="431">
        <f t="shared" si="18"/>
        <v>1300</v>
      </c>
      <c r="K66" s="431">
        <f t="shared" si="18"/>
        <v>1300</v>
      </c>
      <c r="L66" s="431">
        <f t="shared" si="18"/>
        <v>1300</v>
      </c>
      <c r="M66" s="431">
        <f t="shared" si="18"/>
        <v>1300</v>
      </c>
      <c r="N66" s="432">
        <f t="shared" si="19"/>
        <v>15600</v>
      </c>
    </row>
    <row r="67" spans="1:15" s="394" customFormat="1" ht="19.5">
      <c r="A67" s="391" t="s">
        <v>441</v>
      </c>
      <c r="B67" s="404">
        <v>100</v>
      </c>
      <c r="C67" s="392">
        <f t="shared" si="18"/>
        <v>100</v>
      </c>
      <c r="D67" s="392">
        <f t="shared" si="18"/>
        <v>100</v>
      </c>
      <c r="E67" s="392">
        <f t="shared" si="18"/>
        <v>100</v>
      </c>
      <c r="F67" s="392">
        <f t="shared" si="18"/>
        <v>100</v>
      </c>
      <c r="G67" s="392">
        <f t="shared" si="18"/>
        <v>100</v>
      </c>
      <c r="H67" s="392">
        <f t="shared" si="18"/>
        <v>100</v>
      </c>
      <c r="I67" s="392">
        <f t="shared" si="18"/>
        <v>100</v>
      </c>
      <c r="J67" s="392">
        <f t="shared" si="18"/>
        <v>100</v>
      </c>
      <c r="K67" s="392">
        <f t="shared" si="18"/>
        <v>100</v>
      </c>
      <c r="L67" s="392">
        <f t="shared" si="18"/>
        <v>100</v>
      </c>
      <c r="M67" s="392">
        <f t="shared" si="18"/>
        <v>100</v>
      </c>
      <c r="N67" s="393">
        <f t="shared" si="19"/>
        <v>1200</v>
      </c>
    </row>
    <row r="68" spans="1:15" s="394" customFormat="1" ht="19.5">
      <c r="A68" s="395" t="s">
        <v>442</v>
      </c>
      <c r="B68" s="404">
        <v>14000</v>
      </c>
      <c r="C68" s="392">
        <f t="shared" si="18"/>
        <v>14000</v>
      </c>
      <c r="D68" s="392">
        <f t="shared" si="18"/>
        <v>14000</v>
      </c>
      <c r="E68" s="392">
        <f t="shared" si="18"/>
        <v>14000</v>
      </c>
      <c r="F68" s="392">
        <f t="shared" si="18"/>
        <v>14000</v>
      </c>
      <c r="G68" s="392">
        <f t="shared" si="18"/>
        <v>14000</v>
      </c>
      <c r="H68" s="392">
        <f t="shared" si="18"/>
        <v>14000</v>
      </c>
      <c r="I68" s="392">
        <f t="shared" si="18"/>
        <v>14000</v>
      </c>
      <c r="J68" s="392">
        <f t="shared" si="18"/>
        <v>14000</v>
      </c>
      <c r="K68" s="392">
        <f t="shared" si="18"/>
        <v>14000</v>
      </c>
      <c r="L68" s="392">
        <f t="shared" si="18"/>
        <v>14000</v>
      </c>
      <c r="M68" s="392">
        <f t="shared" si="18"/>
        <v>14000</v>
      </c>
      <c r="N68" s="393">
        <f t="shared" si="19"/>
        <v>168000</v>
      </c>
    </row>
    <row r="69" spans="1:15" s="394" customFormat="1" ht="19.5">
      <c r="A69" s="391" t="s">
        <v>443</v>
      </c>
      <c r="B69" s="404">
        <v>0</v>
      </c>
      <c r="C69" s="392">
        <f t="shared" si="18"/>
        <v>0</v>
      </c>
      <c r="D69" s="392">
        <f t="shared" si="18"/>
        <v>0</v>
      </c>
      <c r="E69" s="392">
        <f t="shared" si="18"/>
        <v>0</v>
      </c>
      <c r="F69" s="392">
        <f t="shared" si="18"/>
        <v>0</v>
      </c>
      <c r="G69" s="392">
        <f t="shared" si="18"/>
        <v>0</v>
      </c>
      <c r="H69" s="392">
        <f t="shared" si="18"/>
        <v>0</v>
      </c>
      <c r="I69" s="392">
        <f t="shared" si="18"/>
        <v>0</v>
      </c>
      <c r="J69" s="392">
        <f t="shared" si="18"/>
        <v>0</v>
      </c>
      <c r="K69" s="392">
        <f t="shared" si="18"/>
        <v>0</v>
      </c>
      <c r="L69" s="392">
        <f t="shared" si="18"/>
        <v>0</v>
      </c>
      <c r="M69" s="392">
        <f t="shared" si="18"/>
        <v>0</v>
      </c>
      <c r="N69" s="393">
        <f t="shared" si="19"/>
        <v>0</v>
      </c>
    </row>
    <row r="70" spans="1:15" s="394" customFormat="1" ht="19.5">
      <c r="A70" s="395"/>
      <c r="B70" s="404">
        <v>0</v>
      </c>
      <c r="C70" s="392">
        <f t="shared" si="18"/>
        <v>0</v>
      </c>
      <c r="D70" s="392">
        <f t="shared" si="18"/>
        <v>0</v>
      </c>
      <c r="E70" s="392">
        <f t="shared" si="18"/>
        <v>0</v>
      </c>
      <c r="F70" s="392">
        <f t="shared" si="18"/>
        <v>0</v>
      </c>
      <c r="G70" s="392">
        <f t="shared" si="18"/>
        <v>0</v>
      </c>
      <c r="H70" s="392">
        <f t="shared" si="18"/>
        <v>0</v>
      </c>
      <c r="I70" s="392">
        <f t="shared" si="18"/>
        <v>0</v>
      </c>
      <c r="J70" s="392">
        <f t="shared" si="18"/>
        <v>0</v>
      </c>
      <c r="K70" s="392">
        <f t="shared" si="18"/>
        <v>0</v>
      </c>
      <c r="L70" s="392">
        <f t="shared" si="18"/>
        <v>0</v>
      </c>
      <c r="M70" s="392">
        <f t="shared" si="18"/>
        <v>0</v>
      </c>
      <c r="N70" s="393">
        <f t="shared" si="19"/>
        <v>0</v>
      </c>
    </row>
    <row r="71" spans="1:15" s="394" customFormat="1" ht="19.5">
      <c r="A71" s="391"/>
      <c r="B71" s="404">
        <v>0</v>
      </c>
      <c r="C71" s="392">
        <f t="shared" si="18"/>
        <v>0</v>
      </c>
      <c r="D71" s="392">
        <f t="shared" si="18"/>
        <v>0</v>
      </c>
      <c r="E71" s="392">
        <f t="shared" si="18"/>
        <v>0</v>
      </c>
      <c r="F71" s="392">
        <f t="shared" si="18"/>
        <v>0</v>
      </c>
      <c r="G71" s="392">
        <f t="shared" si="18"/>
        <v>0</v>
      </c>
      <c r="H71" s="392">
        <f t="shared" si="18"/>
        <v>0</v>
      </c>
      <c r="I71" s="392">
        <f t="shared" si="18"/>
        <v>0</v>
      </c>
      <c r="J71" s="392">
        <f t="shared" si="18"/>
        <v>0</v>
      </c>
      <c r="K71" s="392">
        <f t="shared" si="18"/>
        <v>0</v>
      </c>
      <c r="L71" s="392">
        <f t="shared" si="18"/>
        <v>0</v>
      </c>
      <c r="M71" s="392">
        <f t="shared" si="18"/>
        <v>0</v>
      </c>
      <c r="N71" s="393">
        <f t="shared" si="19"/>
        <v>0</v>
      </c>
    </row>
    <row r="72" spans="1:15" s="394" customFormat="1" ht="19.5">
      <c r="A72" s="393" t="s">
        <v>444</v>
      </c>
      <c r="B72" s="393">
        <f>SUM(B65:B71)</f>
        <v>15620</v>
      </c>
      <c r="C72" s="393">
        <f t="shared" ref="C72:M72" si="20">SUM(C65:C71)</f>
        <v>15620</v>
      </c>
      <c r="D72" s="393">
        <f t="shared" si="20"/>
        <v>15620</v>
      </c>
      <c r="E72" s="393">
        <f t="shared" si="20"/>
        <v>15620</v>
      </c>
      <c r="F72" s="393">
        <f t="shared" si="20"/>
        <v>15620</v>
      </c>
      <c r="G72" s="393">
        <f t="shared" si="20"/>
        <v>15620</v>
      </c>
      <c r="H72" s="393">
        <f t="shared" si="20"/>
        <v>15620</v>
      </c>
      <c r="I72" s="393">
        <f t="shared" si="20"/>
        <v>15620</v>
      </c>
      <c r="J72" s="393">
        <f t="shared" si="20"/>
        <v>15620</v>
      </c>
      <c r="K72" s="393">
        <f t="shared" si="20"/>
        <v>15620</v>
      </c>
      <c r="L72" s="393">
        <f t="shared" si="20"/>
        <v>15620</v>
      </c>
      <c r="M72" s="393">
        <f t="shared" si="20"/>
        <v>15620</v>
      </c>
      <c r="N72" s="393">
        <f t="shared" si="19"/>
        <v>187440</v>
      </c>
      <c r="O72" s="433">
        <f>N72-N66</f>
        <v>171840</v>
      </c>
    </row>
    <row r="73" spans="1:15" s="394" customFormat="1" ht="19.5">
      <c r="A73" s="396"/>
      <c r="B73" s="405"/>
      <c r="C73" s="405"/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6"/>
    </row>
    <row r="74" spans="1:15">
      <c r="A74" s="698" t="s">
        <v>445</v>
      </c>
      <c r="B74" s="699"/>
      <c r="C74" s="699"/>
      <c r="D74" s="699"/>
      <c r="E74" s="699"/>
      <c r="F74" s="699"/>
      <c r="G74" s="699"/>
      <c r="H74" s="699"/>
      <c r="I74" s="699"/>
      <c r="J74" s="699"/>
      <c r="K74" s="699"/>
      <c r="L74" s="699"/>
      <c r="M74" s="699"/>
      <c r="N74" s="700"/>
    </row>
    <row r="75" spans="1:15" s="394" customFormat="1" ht="19.5">
      <c r="A75" s="429" t="s">
        <v>446</v>
      </c>
      <c r="B75" s="431">
        <v>800</v>
      </c>
      <c r="C75" s="431">
        <f t="shared" ref="C75:M81" si="21">B75</f>
        <v>800</v>
      </c>
      <c r="D75" s="431">
        <f t="shared" si="21"/>
        <v>800</v>
      </c>
      <c r="E75" s="431">
        <f t="shared" si="21"/>
        <v>800</v>
      </c>
      <c r="F75" s="431">
        <f t="shared" si="21"/>
        <v>800</v>
      </c>
      <c r="G75" s="431">
        <f t="shared" si="21"/>
        <v>800</v>
      </c>
      <c r="H75" s="431">
        <f t="shared" si="21"/>
        <v>800</v>
      </c>
      <c r="I75" s="431">
        <f t="shared" si="21"/>
        <v>800</v>
      </c>
      <c r="J75" s="431">
        <f t="shared" si="21"/>
        <v>800</v>
      </c>
      <c r="K75" s="431">
        <f t="shared" si="21"/>
        <v>800</v>
      </c>
      <c r="L75" s="431">
        <f t="shared" si="21"/>
        <v>800</v>
      </c>
      <c r="M75" s="431">
        <f t="shared" si="21"/>
        <v>800</v>
      </c>
      <c r="N75" s="432">
        <f t="shared" ref="N75:N79" si="22">SUM(B75:M75)</f>
        <v>9600</v>
      </c>
    </row>
    <row r="76" spans="1:15" s="394" customFormat="1" ht="19.5">
      <c r="A76" s="395" t="s">
        <v>408</v>
      </c>
      <c r="B76" s="401">
        <v>75</v>
      </c>
      <c r="C76" s="392">
        <f t="shared" si="21"/>
        <v>75</v>
      </c>
      <c r="D76" s="392">
        <f t="shared" si="21"/>
        <v>75</v>
      </c>
      <c r="E76" s="392">
        <f t="shared" si="21"/>
        <v>75</v>
      </c>
      <c r="F76" s="392">
        <f t="shared" si="21"/>
        <v>75</v>
      </c>
      <c r="G76" s="392">
        <f t="shared" si="21"/>
        <v>75</v>
      </c>
      <c r="H76" s="392">
        <f t="shared" si="21"/>
        <v>75</v>
      </c>
      <c r="I76" s="392">
        <f t="shared" si="21"/>
        <v>75</v>
      </c>
      <c r="J76" s="392">
        <f t="shared" si="21"/>
        <v>75</v>
      </c>
      <c r="K76" s="392">
        <f t="shared" si="21"/>
        <v>75</v>
      </c>
      <c r="L76" s="392">
        <f t="shared" si="21"/>
        <v>75</v>
      </c>
      <c r="M76" s="392">
        <f t="shared" si="21"/>
        <v>75</v>
      </c>
      <c r="N76" s="393">
        <f t="shared" si="22"/>
        <v>900</v>
      </c>
    </row>
    <row r="77" spans="1:15" s="394" customFormat="1" ht="19.5">
      <c r="A77" s="391" t="s">
        <v>447</v>
      </c>
      <c r="B77" s="401">
        <v>75</v>
      </c>
      <c r="C77" s="392">
        <f t="shared" si="21"/>
        <v>75</v>
      </c>
      <c r="D77" s="392">
        <f t="shared" si="21"/>
        <v>75</v>
      </c>
      <c r="E77" s="392">
        <f t="shared" si="21"/>
        <v>75</v>
      </c>
      <c r="F77" s="392">
        <f t="shared" si="21"/>
        <v>75</v>
      </c>
      <c r="G77" s="392">
        <f t="shared" si="21"/>
        <v>75</v>
      </c>
      <c r="H77" s="392">
        <f t="shared" si="21"/>
        <v>75</v>
      </c>
      <c r="I77" s="392">
        <f t="shared" si="21"/>
        <v>75</v>
      </c>
      <c r="J77" s="392">
        <f t="shared" si="21"/>
        <v>75</v>
      </c>
      <c r="K77" s="392">
        <f t="shared" si="21"/>
        <v>75</v>
      </c>
      <c r="L77" s="392">
        <f t="shared" si="21"/>
        <v>75</v>
      </c>
      <c r="M77" s="392">
        <f t="shared" si="21"/>
        <v>75</v>
      </c>
      <c r="N77" s="393">
        <f t="shared" si="22"/>
        <v>900</v>
      </c>
    </row>
    <row r="78" spans="1:15" s="394" customFormat="1" ht="19.5">
      <c r="A78" s="395" t="s">
        <v>448</v>
      </c>
      <c r="B78" s="401">
        <v>182.8</v>
      </c>
      <c r="C78" s="392"/>
      <c r="D78" s="392">
        <v>182.8</v>
      </c>
      <c r="E78" s="392"/>
      <c r="F78" s="392">
        <v>182.8</v>
      </c>
      <c r="G78" s="392"/>
      <c r="H78" s="392">
        <v>182.8</v>
      </c>
      <c r="I78" s="392"/>
      <c r="J78" s="392">
        <v>182.8</v>
      </c>
      <c r="K78" s="392"/>
      <c r="L78" s="392">
        <v>182</v>
      </c>
      <c r="M78" s="392"/>
      <c r="N78" s="393">
        <f t="shared" si="22"/>
        <v>1096</v>
      </c>
    </row>
    <row r="79" spans="1:15" s="394" customFormat="1" ht="19.5">
      <c r="A79" s="391" t="s">
        <v>449</v>
      </c>
      <c r="B79" s="401">
        <v>525</v>
      </c>
      <c r="C79" s="392">
        <f t="shared" si="21"/>
        <v>525</v>
      </c>
      <c r="D79" s="392">
        <f t="shared" si="21"/>
        <v>525</v>
      </c>
      <c r="E79" s="392">
        <f t="shared" si="21"/>
        <v>525</v>
      </c>
      <c r="F79" s="392">
        <f t="shared" si="21"/>
        <v>525</v>
      </c>
      <c r="G79" s="392">
        <f t="shared" si="21"/>
        <v>525</v>
      </c>
      <c r="H79" s="392">
        <f t="shared" si="21"/>
        <v>525</v>
      </c>
      <c r="I79" s="392">
        <f t="shared" si="21"/>
        <v>525</v>
      </c>
      <c r="J79" s="392">
        <f t="shared" si="21"/>
        <v>525</v>
      </c>
      <c r="K79" s="392">
        <v>525</v>
      </c>
      <c r="L79" s="392">
        <v>525</v>
      </c>
      <c r="M79" s="392">
        <f t="shared" si="21"/>
        <v>525</v>
      </c>
      <c r="N79" s="393">
        <f t="shared" si="22"/>
        <v>6300</v>
      </c>
    </row>
    <row r="80" spans="1:15" s="394" customFormat="1" ht="19.5">
      <c r="A80" s="395" t="s">
        <v>450</v>
      </c>
      <c r="B80" s="401">
        <v>250</v>
      </c>
      <c r="C80" s="392">
        <f t="shared" si="21"/>
        <v>250</v>
      </c>
      <c r="D80" s="392">
        <f t="shared" si="21"/>
        <v>250</v>
      </c>
      <c r="E80" s="392">
        <f t="shared" si="21"/>
        <v>250</v>
      </c>
      <c r="F80" s="392">
        <f t="shared" si="21"/>
        <v>250</v>
      </c>
      <c r="G80" s="392">
        <f t="shared" si="21"/>
        <v>250</v>
      </c>
      <c r="H80" s="392">
        <f t="shared" si="21"/>
        <v>250</v>
      </c>
      <c r="I80" s="392">
        <f t="shared" si="21"/>
        <v>250</v>
      </c>
      <c r="J80" s="392">
        <f t="shared" si="21"/>
        <v>250</v>
      </c>
      <c r="K80" s="392">
        <f t="shared" si="21"/>
        <v>250</v>
      </c>
      <c r="L80" s="392">
        <f t="shared" si="21"/>
        <v>250</v>
      </c>
      <c r="M80" s="392">
        <f t="shared" si="21"/>
        <v>250</v>
      </c>
      <c r="N80" s="393">
        <f>SUM(B80:M80)</f>
        <v>3000</v>
      </c>
    </row>
    <row r="81" spans="1:15" s="394" customFormat="1" ht="19.5">
      <c r="A81" s="395" t="s">
        <v>451</v>
      </c>
      <c r="B81" s="401">
        <v>0</v>
      </c>
      <c r="C81" s="392">
        <f t="shared" si="21"/>
        <v>0</v>
      </c>
      <c r="D81" s="392">
        <f t="shared" si="21"/>
        <v>0</v>
      </c>
      <c r="E81" s="392">
        <f t="shared" si="21"/>
        <v>0</v>
      </c>
      <c r="F81" s="392">
        <f t="shared" si="21"/>
        <v>0</v>
      </c>
      <c r="G81" s="392">
        <f t="shared" si="21"/>
        <v>0</v>
      </c>
      <c r="H81" s="392">
        <f t="shared" si="21"/>
        <v>0</v>
      </c>
      <c r="I81" s="392">
        <f t="shared" si="21"/>
        <v>0</v>
      </c>
      <c r="J81" s="392">
        <f t="shared" si="21"/>
        <v>0</v>
      </c>
      <c r="K81" s="392">
        <f t="shared" si="21"/>
        <v>0</v>
      </c>
      <c r="L81" s="392">
        <f t="shared" si="21"/>
        <v>0</v>
      </c>
      <c r="M81" s="392">
        <f t="shared" si="21"/>
        <v>0</v>
      </c>
      <c r="N81" s="393">
        <f>SUM(B81:M81)</f>
        <v>0</v>
      </c>
    </row>
    <row r="82" spans="1:15" s="394" customFormat="1" ht="19.5">
      <c r="A82" s="393" t="s">
        <v>452</v>
      </c>
      <c r="B82" s="393">
        <f>SUM(B75:B81)</f>
        <v>1907.8</v>
      </c>
      <c r="C82" s="393">
        <f t="shared" ref="C82:M82" si="23">SUM(C75:C81)</f>
        <v>1725</v>
      </c>
      <c r="D82" s="393">
        <f t="shared" si="23"/>
        <v>1907.8</v>
      </c>
      <c r="E82" s="393">
        <f t="shared" si="23"/>
        <v>1725</v>
      </c>
      <c r="F82" s="393">
        <f t="shared" si="23"/>
        <v>1907.8</v>
      </c>
      <c r="G82" s="393">
        <f t="shared" si="23"/>
        <v>1725</v>
      </c>
      <c r="H82" s="393">
        <f t="shared" si="23"/>
        <v>1907.8</v>
      </c>
      <c r="I82" s="393">
        <f t="shared" si="23"/>
        <v>1725</v>
      </c>
      <c r="J82" s="393">
        <f t="shared" si="23"/>
        <v>1907.8</v>
      </c>
      <c r="K82" s="393">
        <f t="shared" si="23"/>
        <v>1725</v>
      </c>
      <c r="L82" s="393">
        <f t="shared" si="23"/>
        <v>1907</v>
      </c>
      <c r="M82" s="393">
        <f t="shared" si="23"/>
        <v>1725</v>
      </c>
      <c r="N82" s="393">
        <f t="shared" ref="N82" si="24">SUM(B82:M82)</f>
        <v>21796</v>
      </c>
      <c r="O82" s="433">
        <f>N82-N75</f>
        <v>12196</v>
      </c>
    </row>
    <row r="83" spans="1:15">
      <c r="A83" s="398"/>
      <c r="B83" s="399"/>
      <c r="C83" s="399"/>
      <c r="D83" s="399"/>
      <c r="E83" s="399"/>
      <c r="F83" s="399"/>
      <c r="G83" s="399"/>
      <c r="H83" s="399"/>
      <c r="I83" s="399"/>
      <c r="J83" s="399"/>
      <c r="K83" s="399"/>
      <c r="L83" s="399"/>
      <c r="M83" s="399"/>
      <c r="N83" s="400"/>
    </row>
    <row r="84" spans="1:15">
      <c r="A84" s="698" t="s">
        <v>453</v>
      </c>
      <c r="B84" s="699"/>
      <c r="C84" s="699"/>
      <c r="D84" s="699"/>
      <c r="E84" s="699"/>
      <c r="F84" s="699"/>
      <c r="G84" s="699"/>
      <c r="H84" s="699"/>
      <c r="I84" s="699"/>
      <c r="J84" s="699"/>
      <c r="K84" s="699"/>
      <c r="L84" s="699"/>
      <c r="M84" s="699"/>
      <c r="N84" s="700"/>
    </row>
    <row r="85" spans="1:15" s="394" customFormat="1" ht="19.5">
      <c r="A85" s="391" t="s">
        <v>454</v>
      </c>
      <c r="B85" s="401">
        <v>0</v>
      </c>
      <c r="C85" s="392">
        <f t="shared" ref="C85:M88" si="25">B85</f>
        <v>0</v>
      </c>
      <c r="D85" s="392">
        <f t="shared" si="25"/>
        <v>0</v>
      </c>
      <c r="E85" s="392">
        <f t="shared" si="25"/>
        <v>0</v>
      </c>
      <c r="F85" s="392">
        <f t="shared" si="25"/>
        <v>0</v>
      </c>
      <c r="G85" s="392">
        <f t="shared" si="25"/>
        <v>0</v>
      </c>
      <c r="H85" s="392">
        <f t="shared" si="25"/>
        <v>0</v>
      </c>
      <c r="I85" s="392">
        <f t="shared" si="25"/>
        <v>0</v>
      </c>
      <c r="J85" s="392">
        <f t="shared" si="25"/>
        <v>0</v>
      </c>
      <c r="K85" s="392">
        <f t="shared" si="25"/>
        <v>0</v>
      </c>
      <c r="L85" s="392">
        <f t="shared" si="25"/>
        <v>0</v>
      </c>
      <c r="M85" s="392">
        <f t="shared" si="25"/>
        <v>0</v>
      </c>
      <c r="N85" s="393">
        <f t="shared" ref="N85:N89" si="26">SUM(B85:M85)</f>
        <v>0</v>
      </c>
    </row>
    <row r="86" spans="1:15" s="394" customFormat="1" ht="19.5">
      <c r="A86" s="395" t="s">
        <v>455</v>
      </c>
      <c r="B86" s="401">
        <v>0</v>
      </c>
      <c r="C86" s="392">
        <f t="shared" si="25"/>
        <v>0</v>
      </c>
      <c r="D86" s="392">
        <f t="shared" si="25"/>
        <v>0</v>
      </c>
      <c r="E86" s="392">
        <f t="shared" si="25"/>
        <v>0</v>
      </c>
      <c r="F86" s="392">
        <f t="shared" si="25"/>
        <v>0</v>
      </c>
      <c r="G86" s="392">
        <f t="shared" si="25"/>
        <v>0</v>
      </c>
      <c r="H86" s="392">
        <f t="shared" si="25"/>
        <v>0</v>
      </c>
      <c r="I86" s="392">
        <f t="shared" si="25"/>
        <v>0</v>
      </c>
      <c r="J86" s="392">
        <f t="shared" si="25"/>
        <v>0</v>
      </c>
      <c r="K86" s="392">
        <f t="shared" si="25"/>
        <v>0</v>
      </c>
      <c r="L86" s="392">
        <f t="shared" si="25"/>
        <v>0</v>
      </c>
      <c r="M86" s="392">
        <f t="shared" si="25"/>
        <v>0</v>
      </c>
      <c r="N86" s="393">
        <f t="shared" si="26"/>
        <v>0</v>
      </c>
    </row>
    <row r="87" spans="1:15" s="394" customFormat="1" ht="19.5">
      <c r="A87" s="395" t="s">
        <v>456</v>
      </c>
      <c r="B87" s="401">
        <v>714</v>
      </c>
      <c r="C87" s="392">
        <f t="shared" si="25"/>
        <v>714</v>
      </c>
      <c r="D87" s="392">
        <f t="shared" si="25"/>
        <v>714</v>
      </c>
      <c r="E87" s="392">
        <f t="shared" si="25"/>
        <v>714</v>
      </c>
      <c r="F87" s="392">
        <f t="shared" si="25"/>
        <v>714</v>
      </c>
      <c r="G87" s="392">
        <f t="shared" si="25"/>
        <v>714</v>
      </c>
      <c r="H87" s="392">
        <f t="shared" si="25"/>
        <v>714</v>
      </c>
      <c r="I87" s="392">
        <f t="shared" si="25"/>
        <v>714</v>
      </c>
      <c r="J87" s="392">
        <f t="shared" si="25"/>
        <v>714</v>
      </c>
      <c r="K87" s="392">
        <f t="shared" si="25"/>
        <v>714</v>
      </c>
      <c r="L87" s="392">
        <f t="shared" si="25"/>
        <v>714</v>
      </c>
      <c r="M87" s="392">
        <f t="shared" si="25"/>
        <v>714</v>
      </c>
      <c r="N87" s="393">
        <f t="shared" si="26"/>
        <v>8568</v>
      </c>
    </row>
    <row r="88" spans="1:15" s="394" customFormat="1" ht="19.5">
      <c r="A88" s="395"/>
      <c r="B88" s="401">
        <v>0</v>
      </c>
      <c r="C88" s="392">
        <f t="shared" si="25"/>
        <v>0</v>
      </c>
      <c r="D88" s="392">
        <f t="shared" si="25"/>
        <v>0</v>
      </c>
      <c r="E88" s="392">
        <f t="shared" si="25"/>
        <v>0</v>
      </c>
      <c r="F88" s="392">
        <f t="shared" si="25"/>
        <v>0</v>
      </c>
      <c r="G88" s="392">
        <f t="shared" si="25"/>
        <v>0</v>
      </c>
      <c r="H88" s="392">
        <f t="shared" si="25"/>
        <v>0</v>
      </c>
      <c r="I88" s="392">
        <f t="shared" si="25"/>
        <v>0</v>
      </c>
      <c r="J88" s="392">
        <f t="shared" si="25"/>
        <v>0</v>
      </c>
      <c r="K88" s="392">
        <f t="shared" si="25"/>
        <v>0</v>
      </c>
      <c r="L88" s="392">
        <f t="shared" si="25"/>
        <v>0</v>
      </c>
      <c r="M88" s="392">
        <f t="shared" si="25"/>
        <v>0</v>
      </c>
      <c r="N88" s="393">
        <f>SUM(B88:M88)</f>
        <v>0</v>
      </c>
    </row>
    <row r="89" spans="1:15" s="394" customFormat="1" ht="19.5">
      <c r="A89" s="393" t="s">
        <v>457</v>
      </c>
      <c r="B89" s="393">
        <f t="shared" ref="B89:M89" si="27">SUM(B85:B88)</f>
        <v>714</v>
      </c>
      <c r="C89" s="393">
        <f t="shared" si="27"/>
        <v>714</v>
      </c>
      <c r="D89" s="393">
        <f t="shared" si="27"/>
        <v>714</v>
      </c>
      <c r="E89" s="393">
        <f t="shared" si="27"/>
        <v>714</v>
      </c>
      <c r="F89" s="393">
        <f t="shared" si="27"/>
        <v>714</v>
      </c>
      <c r="G89" s="393">
        <f t="shared" si="27"/>
        <v>714</v>
      </c>
      <c r="H89" s="393">
        <f t="shared" si="27"/>
        <v>714</v>
      </c>
      <c r="I89" s="393">
        <f t="shared" si="27"/>
        <v>714</v>
      </c>
      <c r="J89" s="393">
        <f t="shared" si="27"/>
        <v>714</v>
      </c>
      <c r="K89" s="393">
        <f t="shared" si="27"/>
        <v>714</v>
      </c>
      <c r="L89" s="393">
        <f t="shared" si="27"/>
        <v>714</v>
      </c>
      <c r="M89" s="393">
        <f t="shared" si="27"/>
        <v>714</v>
      </c>
      <c r="N89" s="393">
        <f t="shared" si="26"/>
        <v>8568</v>
      </c>
    </row>
    <row r="90" spans="1:15">
      <c r="A90" s="398"/>
      <c r="B90" s="399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400"/>
    </row>
    <row r="91" spans="1:15">
      <c r="A91" s="407" t="s">
        <v>458</v>
      </c>
      <c r="B91" s="408">
        <f>B11</f>
        <v>49600</v>
      </c>
      <c r="C91" s="408">
        <f t="shared" ref="C91:M91" si="28">C11</f>
        <v>49600</v>
      </c>
      <c r="D91" s="408">
        <f t="shared" si="28"/>
        <v>49600</v>
      </c>
      <c r="E91" s="408">
        <f t="shared" si="28"/>
        <v>49600</v>
      </c>
      <c r="F91" s="408">
        <f t="shared" si="28"/>
        <v>49600</v>
      </c>
      <c r="G91" s="408">
        <f t="shared" si="28"/>
        <v>49600</v>
      </c>
      <c r="H91" s="408">
        <f t="shared" si="28"/>
        <v>49600</v>
      </c>
      <c r="I91" s="408">
        <f t="shared" si="28"/>
        <v>49600</v>
      </c>
      <c r="J91" s="408">
        <f t="shared" si="28"/>
        <v>49600</v>
      </c>
      <c r="K91" s="408">
        <f t="shared" si="28"/>
        <v>49600</v>
      </c>
      <c r="L91" s="408">
        <f t="shared" si="28"/>
        <v>49600</v>
      </c>
      <c r="M91" s="408">
        <f t="shared" si="28"/>
        <v>49600</v>
      </c>
      <c r="N91" s="393">
        <f>SUM(B91:M91)</f>
        <v>595200</v>
      </c>
    </row>
    <row r="92" spans="1:15">
      <c r="A92" s="407" t="s">
        <v>459</v>
      </c>
      <c r="B92" s="408">
        <f>SUM(B32+B41+B51+B62+B72+B82+B89)</f>
        <v>43843.464742199998</v>
      </c>
      <c r="C92" s="408">
        <f t="shared" ref="C92:M92" si="29">SUM(C32+C41+C51+C62+C72+C82+C89)</f>
        <v>43660.664742199995</v>
      </c>
      <c r="D92" s="408">
        <f t="shared" si="29"/>
        <v>43606.284742200005</v>
      </c>
      <c r="E92" s="408">
        <f t="shared" si="29"/>
        <v>43896.844742200003</v>
      </c>
      <c r="F92" s="408">
        <f t="shared" si="29"/>
        <v>43843.464742199998</v>
      </c>
      <c r="G92" s="408">
        <f t="shared" si="29"/>
        <v>43423.484742200002</v>
      </c>
      <c r="H92" s="408">
        <f t="shared" si="29"/>
        <v>46622.329742200003</v>
      </c>
      <c r="I92" s="408">
        <f t="shared" si="29"/>
        <v>43660.664742199995</v>
      </c>
      <c r="J92" s="408">
        <f t="shared" si="29"/>
        <v>44079.644742200006</v>
      </c>
      <c r="K92" s="408">
        <f t="shared" si="29"/>
        <v>43660.664742199995</v>
      </c>
      <c r="L92" s="408">
        <f t="shared" si="29"/>
        <v>43605.484742200002</v>
      </c>
      <c r="M92" s="408">
        <f t="shared" si="29"/>
        <v>45434.514742200001</v>
      </c>
      <c r="N92" s="393">
        <f>SUM(B92:M92)</f>
        <v>529337.51190639997</v>
      </c>
      <c r="O92" s="436">
        <f>N92-N75-N66-N54</f>
        <v>480137.51190639997</v>
      </c>
    </row>
    <row r="93" spans="1:15">
      <c r="A93" s="409" t="s">
        <v>460</v>
      </c>
      <c r="B93" s="410">
        <f>SUM(B91-B92)</f>
        <v>5756.535257800002</v>
      </c>
      <c r="C93" s="410">
        <f t="shared" ref="C93:M93" si="30">SUM(C91-C92)</f>
        <v>5939.3352578000049</v>
      </c>
      <c r="D93" s="410">
        <f t="shared" si="30"/>
        <v>5993.715257799995</v>
      </c>
      <c r="E93" s="410">
        <f t="shared" si="30"/>
        <v>5703.1552577999973</v>
      </c>
      <c r="F93" s="410">
        <f t="shared" si="30"/>
        <v>5756.535257800002</v>
      </c>
      <c r="G93" s="410">
        <f t="shared" si="30"/>
        <v>6176.5152577999979</v>
      </c>
      <c r="H93" s="410">
        <f t="shared" si="30"/>
        <v>2977.6702577999968</v>
      </c>
      <c r="I93" s="410">
        <f t="shared" si="30"/>
        <v>5939.3352578000049</v>
      </c>
      <c r="J93" s="410">
        <f t="shared" si="30"/>
        <v>5520.3552577999944</v>
      </c>
      <c r="K93" s="410">
        <f t="shared" si="30"/>
        <v>5939.3352578000049</v>
      </c>
      <c r="L93" s="410">
        <f t="shared" si="30"/>
        <v>5994.5152577999979</v>
      </c>
      <c r="M93" s="410">
        <f t="shared" si="30"/>
        <v>4165.4852577999991</v>
      </c>
      <c r="N93" s="411">
        <f>SUM(N91-N92)</f>
        <v>65862.488093600026</v>
      </c>
    </row>
    <row r="94" spans="1:15" s="414" customFormat="1" ht="21" thickBot="1">
      <c r="A94" s="412" t="s">
        <v>461</v>
      </c>
      <c r="B94" s="413">
        <f>SUM(B93/B91)</f>
        <v>0.11605917858467746</v>
      </c>
      <c r="C94" s="413">
        <f t="shared" ref="C94:N94" si="31">SUM(C93/C91)</f>
        <v>0.11974466245564526</v>
      </c>
      <c r="D94" s="413">
        <f t="shared" si="31"/>
        <v>0.12084103342338699</v>
      </c>
      <c r="E94" s="413">
        <f t="shared" si="31"/>
        <v>0.11498296890725801</v>
      </c>
      <c r="F94" s="413">
        <f t="shared" si="31"/>
        <v>0.11605917858467746</v>
      </c>
      <c r="G94" s="413">
        <f t="shared" si="31"/>
        <v>0.12452651729435479</v>
      </c>
      <c r="H94" s="413">
        <f t="shared" si="31"/>
        <v>6.0033674552419293E-2</v>
      </c>
      <c r="I94" s="413">
        <f t="shared" si="31"/>
        <v>0.11974466245564526</v>
      </c>
      <c r="J94" s="413">
        <f t="shared" si="31"/>
        <v>0.11129748503629021</v>
      </c>
      <c r="K94" s="413">
        <f t="shared" si="31"/>
        <v>0.11974466245564526</v>
      </c>
      <c r="L94" s="413">
        <f t="shared" si="31"/>
        <v>0.12085716245564512</v>
      </c>
      <c r="M94" s="413">
        <f t="shared" si="31"/>
        <v>8.3981557616935459E-2</v>
      </c>
      <c r="N94" s="413">
        <f t="shared" si="31"/>
        <v>0.1106560619852151</v>
      </c>
    </row>
    <row r="95" spans="1:15" ht="21" thickTop="1"/>
  </sheetData>
  <mergeCells count="10">
    <mergeCell ref="A53:N53"/>
    <mergeCell ref="A64:N64"/>
    <mergeCell ref="A74:N74"/>
    <mergeCell ref="A84:N84"/>
    <mergeCell ref="A1:N1"/>
    <mergeCell ref="A4:N4"/>
    <mergeCell ref="A12:N12"/>
    <mergeCell ref="A13:N13"/>
    <mergeCell ref="A34:N34"/>
    <mergeCell ref="A43:N43"/>
  </mergeCells>
  <printOptions horizontalCentered="1" verticalCentered="1"/>
  <pageMargins left="0.5" right="0.5" top="0.28999999999999998" bottom="0.59" header="0.5" footer="0.5"/>
  <pageSetup scale="64" fitToHeight="2" orientation="landscape" horizontalDpi="200" verticalDpi="200" r:id="rId1"/>
  <headerFooter alignWithMargins="0"/>
  <rowBreaks count="1" manualBreakCount="1">
    <brk id="83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43"/>
  <sheetViews>
    <sheetView topLeftCell="A25" workbookViewId="0">
      <selection activeCell="K40" sqref="K40"/>
    </sheetView>
  </sheetViews>
  <sheetFormatPr defaultColWidth="8.77734375" defaultRowHeight="15"/>
  <cols>
    <col min="1" max="1" width="9.44140625" style="640" customWidth="1"/>
    <col min="2" max="2" width="14.44140625" style="640" customWidth="1"/>
    <col min="3" max="4" width="9.109375" style="640" bestFit="1" customWidth="1"/>
    <col min="5" max="5" width="8.77734375" style="640"/>
    <col min="6" max="7" width="9.109375" style="640" bestFit="1" customWidth="1"/>
    <col min="8" max="8" width="8.77734375" style="640"/>
    <col min="9" max="9" width="8.77734375" style="640" customWidth="1"/>
    <col min="10" max="16384" width="8.77734375" style="640"/>
  </cols>
  <sheetData>
    <row r="1" spans="1:9">
      <c r="A1" s="640" t="s">
        <v>103</v>
      </c>
      <c r="C1" s="640" t="s">
        <v>297</v>
      </c>
      <c r="D1" s="640" t="s">
        <v>517</v>
      </c>
      <c r="F1" s="640" t="s">
        <v>298</v>
      </c>
      <c r="G1" s="640" t="s">
        <v>517</v>
      </c>
      <c r="I1" s="640" t="s">
        <v>518</v>
      </c>
    </row>
    <row r="2" spans="1:9">
      <c r="C2" s="641" t="s">
        <v>307</v>
      </c>
      <c r="D2" s="641" t="s">
        <v>519</v>
      </c>
      <c r="F2" s="641" t="s">
        <v>520</v>
      </c>
      <c r="G2" s="641" t="s">
        <v>519</v>
      </c>
    </row>
    <row r="3" spans="1:9">
      <c r="C3" s="641"/>
      <c r="D3" s="641"/>
      <c r="F3" s="641"/>
      <c r="G3" s="641"/>
    </row>
    <row r="4" spans="1:9">
      <c r="A4" s="642" t="s">
        <v>521</v>
      </c>
      <c r="B4" s="643"/>
      <c r="C4" s="640">
        <f>SUM([14]Jan:Dec!C4)</f>
        <v>80</v>
      </c>
      <c r="D4" s="640">
        <f>SUM([14]Jan:Dec!D4)</f>
        <v>80</v>
      </c>
      <c r="F4" s="640">
        <f>SUM([14]Jan:Dec!F4)</f>
        <v>36</v>
      </c>
      <c r="G4" s="640">
        <f>SUM([14]Jan:Dec!G4)</f>
        <v>36</v>
      </c>
      <c r="I4" s="644">
        <f>SUM(C4*27.5+D4*22.5)+(F4*27.5+G4*22.5)</f>
        <v>5800</v>
      </c>
    </row>
    <row r="5" spans="1:9">
      <c r="I5" s="644"/>
    </row>
    <row r="6" spans="1:9">
      <c r="A6" s="642" t="s">
        <v>522</v>
      </c>
      <c r="B6" s="643"/>
      <c r="C6" s="640">
        <f>SUM([14]Jan:Dec!C6)</f>
        <v>80</v>
      </c>
      <c r="D6" s="640">
        <f>SUM([14]Jan:Dec!D6)</f>
        <v>80</v>
      </c>
      <c r="F6" s="640">
        <f>SUM([14]Jan:Dec!F6)</f>
        <v>54</v>
      </c>
      <c r="G6" s="640">
        <f>SUM([14]Jan:Dec!G6)</f>
        <v>54</v>
      </c>
      <c r="I6" s="644">
        <f>SUM(C6*27.5+D6*22.5)+(F6*27.5+G6*22.5)</f>
        <v>6700</v>
      </c>
    </row>
    <row r="7" spans="1:9">
      <c r="B7" s="643"/>
      <c r="I7" s="644"/>
    </row>
    <row r="8" spans="1:9">
      <c r="A8" s="642" t="s">
        <v>523</v>
      </c>
      <c r="B8" s="643"/>
      <c r="C8" s="640">
        <f>SUM([14]Jan:Dec!C8)</f>
        <v>88</v>
      </c>
      <c r="D8" s="640">
        <f>SUM([14]Jan:Dec!D8)</f>
        <v>88</v>
      </c>
      <c r="F8" s="640">
        <f>SUM([14]Jan:Dec!F8)</f>
        <v>90</v>
      </c>
      <c r="G8" s="640">
        <f>SUM([14]Jan:Dec!G8)</f>
        <v>90</v>
      </c>
      <c r="I8" s="644">
        <f>SUM(C8*27.5+D8*22.5)+(F8*27.5+G8*22.5)</f>
        <v>8900</v>
      </c>
    </row>
    <row r="9" spans="1:9">
      <c r="A9" s="642"/>
      <c r="B9" s="643"/>
      <c r="I9" s="644"/>
    </row>
    <row r="10" spans="1:9">
      <c r="A10" s="642" t="s">
        <v>524</v>
      </c>
      <c r="B10" s="643"/>
      <c r="C10" s="640">
        <f>SUM([14]Jan:Dec!C10)</f>
        <v>80</v>
      </c>
      <c r="D10" s="640">
        <f>SUM([14]Jan:Dec!D10)</f>
        <v>80</v>
      </c>
      <c r="F10" s="640">
        <f>SUM([14]Jan:Dec!F10)</f>
        <v>72</v>
      </c>
      <c r="G10" s="640">
        <f>SUM([14]Jan:Dec!G10)</f>
        <v>72</v>
      </c>
      <c r="I10" s="644">
        <f>SUM(C10*27.5+D10*22.5)+(F10*27.5+G10*22.5)</f>
        <v>7600</v>
      </c>
    </row>
    <row r="11" spans="1:9">
      <c r="B11" s="643"/>
      <c r="I11" s="644"/>
    </row>
    <row r="12" spans="1:9">
      <c r="A12" s="642" t="s">
        <v>525</v>
      </c>
      <c r="B12" s="643"/>
      <c r="C12" s="640">
        <f>SUM([14]Jan:Dec!C12)</f>
        <v>88</v>
      </c>
      <c r="D12" s="640">
        <f>SUM([14]Jan:Dec!D12)</f>
        <v>88</v>
      </c>
      <c r="F12" s="640">
        <f>SUM([14]Jan:Dec!F12)</f>
        <v>54</v>
      </c>
      <c r="G12" s="640">
        <f>SUM([14]Jan:Dec!G12)</f>
        <v>54</v>
      </c>
      <c r="I12" s="644">
        <f>SUM(C12*27.5+D12*22.5)+(F12*27.5+G12*22.5)</f>
        <v>7100</v>
      </c>
    </row>
    <row r="13" spans="1:9">
      <c r="B13" s="643"/>
      <c r="I13" s="644"/>
    </row>
    <row r="14" spans="1:9">
      <c r="A14" s="642" t="s">
        <v>526</v>
      </c>
      <c r="B14" s="643"/>
      <c r="C14" s="640">
        <f>SUM([14]Jan:Dec!C14)</f>
        <v>64</v>
      </c>
      <c r="D14" s="640">
        <f>SUM([14]Jan:Dec!D14)</f>
        <v>64</v>
      </c>
      <c r="F14" s="640">
        <f>SUM([14]Jan:Dec!F14)</f>
        <v>18</v>
      </c>
      <c r="G14" s="640">
        <f>SUM([14]Jan:Dec!G14)</f>
        <v>18</v>
      </c>
      <c r="I14" s="644">
        <f>SUM(C14*27.5+D14*22.5)+(F14*27.5+G14*22.5)</f>
        <v>4100</v>
      </c>
    </row>
    <row r="15" spans="1:9">
      <c r="B15" s="643"/>
      <c r="I15" s="644"/>
    </row>
    <row r="16" spans="1:9">
      <c r="A16" s="642" t="s">
        <v>527</v>
      </c>
      <c r="B16" s="643"/>
      <c r="C16" s="640">
        <f>SUM([14]Jan:Dec!C16)</f>
        <v>80</v>
      </c>
      <c r="D16" s="640">
        <f>SUM([14]Jan:Dec!D16)</f>
        <v>80</v>
      </c>
      <c r="F16" s="640">
        <f>SUM([14]Jan:Dec!F16)</f>
        <v>36</v>
      </c>
      <c r="G16" s="640">
        <f>SUM([14]Jan:Dec!G16)</f>
        <v>36</v>
      </c>
      <c r="I16" s="644">
        <f>SUM(C16*27.5+D16*22.5)+(F16*27.5+G16*22.5)</f>
        <v>5800</v>
      </c>
    </row>
    <row r="17" spans="1:9">
      <c r="I17" s="644"/>
    </row>
    <row r="18" spans="1:9">
      <c r="A18" s="642" t="s">
        <v>528</v>
      </c>
      <c r="B18" s="643"/>
      <c r="C18" s="640">
        <f>SUM([14]Jan:Dec!C18)</f>
        <v>80</v>
      </c>
      <c r="D18" s="640">
        <f>SUM([14]Jan:Dec!D18)</f>
        <v>80</v>
      </c>
      <c r="F18" s="640">
        <f>SUM([14]Jan:Dec!F18)</f>
        <v>54</v>
      </c>
      <c r="G18" s="640">
        <f>SUM([14]Jan:Dec!G18)</f>
        <v>54</v>
      </c>
      <c r="I18" s="644">
        <f>SUM(C18*27.5+D18*22.5)+(F18*27.5+G18*22.5)</f>
        <v>6700</v>
      </c>
    </row>
    <row r="19" spans="1:9">
      <c r="B19" s="643"/>
      <c r="I19" s="644"/>
    </row>
    <row r="20" spans="1:9">
      <c r="A20" s="642" t="s">
        <v>529</v>
      </c>
      <c r="B20" s="643"/>
      <c r="C20" s="640">
        <f>SUM([14]Jan:Dec!C20)</f>
        <v>88</v>
      </c>
      <c r="D20" s="640">
        <f>SUM([14]Jan:Dec!D20)</f>
        <v>88</v>
      </c>
      <c r="F20" s="640">
        <f>SUM([14]Jan:Dec!F20)</f>
        <v>90</v>
      </c>
      <c r="G20" s="640">
        <f>SUM([14]Jan:Dec!G20)</f>
        <v>90</v>
      </c>
      <c r="I20" s="644">
        <f>SUM(C20*27.5+D20*22.5)+(F20*27.5+G20*22.5)</f>
        <v>8900</v>
      </c>
    </row>
    <row r="21" spans="1:9">
      <c r="B21" s="643"/>
      <c r="I21" s="644"/>
    </row>
    <row r="22" spans="1:9">
      <c r="A22" s="642" t="s">
        <v>530</v>
      </c>
      <c r="B22" s="643"/>
      <c r="C22" s="640">
        <f>SUM([14]Jan:Dec!C22)</f>
        <v>80</v>
      </c>
      <c r="D22" s="640">
        <f>SUM([14]Jan:Dec!D22)</f>
        <v>80</v>
      </c>
      <c r="F22" s="640">
        <f>SUM([14]Jan:Dec!F22)</f>
        <v>72</v>
      </c>
      <c r="G22" s="640">
        <f>SUM([14]Jan:Dec!G22)</f>
        <v>72</v>
      </c>
      <c r="I22" s="644">
        <f>SUM(C22*27.5+D22*22.5)+(F22*27.5+G22*22.5)</f>
        <v>7600</v>
      </c>
    </row>
    <row r="23" spans="1:9">
      <c r="B23" s="643"/>
      <c r="I23" s="644"/>
    </row>
    <row r="24" spans="1:9">
      <c r="A24" s="642" t="s">
        <v>531</v>
      </c>
      <c r="B24" s="643"/>
      <c r="C24" s="640">
        <f>SUM([14]Jan:Dec!C24)</f>
        <v>88</v>
      </c>
      <c r="D24" s="640">
        <f>SUM([14]Jan:Dec!D24)</f>
        <v>88</v>
      </c>
      <c r="F24" s="640">
        <f>SUM([14]Jan:Dec!F24)</f>
        <v>54</v>
      </c>
      <c r="G24" s="640">
        <f>SUM([14]Jan:Dec!G24)</f>
        <v>54</v>
      </c>
      <c r="I24" s="644">
        <f>SUM(C24*27.5+D24*22.5)+(F24*27.5+G24*22.5)</f>
        <v>7100</v>
      </c>
    </row>
    <row r="25" spans="1:9">
      <c r="B25" s="643"/>
      <c r="I25" s="644"/>
    </row>
    <row r="26" spans="1:9">
      <c r="A26" s="642" t="s">
        <v>532</v>
      </c>
      <c r="B26" s="643"/>
      <c r="C26" s="640">
        <f>SUM([14]Jan:Dec!C26)</f>
        <v>68</v>
      </c>
      <c r="D26" s="640">
        <f>SUM([14]Jan:Dec!D26)</f>
        <v>68</v>
      </c>
      <c r="F26" s="640">
        <f>SUM([14]Jan:Dec!F26)</f>
        <v>18</v>
      </c>
      <c r="G26" s="640">
        <f>SUM([14]Jan:Dec!G26)</f>
        <v>18</v>
      </c>
      <c r="I26" s="644">
        <f>SUM(C26*27.5+D26*22.5)+(F26*27.5+G26*22.5)</f>
        <v>4300</v>
      </c>
    </row>
    <row r="27" spans="1:9">
      <c r="B27" s="643"/>
      <c r="I27" s="644"/>
    </row>
    <row r="28" spans="1:9">
      <c r="A28" s="642" t="s">
        <v>533</v>
      </c>
      <c r="B28" s="643"/>
      <c r="C28" s="640">
        <f>SUM([14]Jan:Dec!C28)</f>
        <v>48</v>
      </c>
      <c r="D28" s="640">
        <f>SUM([14]Jan:Dec!D28)</f>
        <v>48</v>
      </c>
      <c r="F28" s="640">
        <f>SUM([14]Jan:Dec!F28)</f>
        <v>18</v>
      </c>
      <c r="G28" s="640">
        <f>SUM([14]Jan:Dec!G28)</f>
        <v>18</v>
      </c>
      <c r="I28" s="644">
        <f>SUM(C28*27.5+D28*22.5)+(F28*27.5+G28*22.5)</f>
        <v>3300</v>
      </c>
    </row>
    <row r="29" spans="1:9">
      <c r="A29" s="642"/>
      <c r="B29" s="643"/>
      <c r="I29" s="644"/>
    </row>
    <row r="30" spans="1:9">
      <c r="A30" s="642" t="s">
        <v>534</v>
      </c>
      <c r="B30" s="643"/>
      <c r="C30" s="640">
        <f>SUM([14]Jan:Dec!C30)</f>
        <v>16</v>
      </c>
      <c r="D30" s="640">
        <f>SUM([14]Jan:Dec!D30)</f>
        <v>16</v>
      </c>
      <c r="F30" s="640">
        <f>SUM([14]Jan:Dec!F30)</f>
        <v>18</v>
      </c>
      <c r="G30" s="640">
        <f>SUM([14]Jan:Dec!G30)</f>
        <v>18</v>
      </c>
      <c r="I30" s="644">
        <f>SUM(C30*27.5+D30*22.5)+(F30*27.5+G30*22.5)</f>
        <v>1700</v>
      </c>
    </row>
    <row r="31" spans="1:9">
      <c r="A31" s="642"/>
      <c r="B31" s="643"/>
      <c r="I31" s="644"/>
    </row>
    <row r="32" spans="1:9">
      <c r="A32" s="642" t="s">
        <v>535</v>
      </c>
      <c r="C32" s="645">
        <f>SUM([14]Jan:Dec!C32)</f>
        <v>8</v>
      </c>
      <c r="D32" s="645">
        <f>SUM([14]Jan:Dec!D32)</f>
        <v>8</v>
      </c>
      <c r="E32" s="645"/>
      <c r="F32" s="645">
        <f>SUM([14]Jan:Dec!F32)</f>
        <v>9</v>
      </c>
      <c r="G32" s="645">
        <f>SUM([14]Jan:Dec!G32)</f>
        <v>9</v>
      </c>
      <c r="H32" s="645"/>
      <c r="I32" s="646">
        <f>SUM(C32*27.5+D32*22.5)+(F32*27.5+G32*22.5)</f>
        <v>850</v>
      </c>
    </row>
    <row r="34" spans="1:9">
      <c r="A34" s="640" t="s">
        <v>103</v>
      </c>
      <c r="C34" s="647">
        <f>SUM(C4:C32)</f>
        <v>1036</v>
      </c>
      <c r="D34" s="647">
        <f>SUM(D4:D32)</f>
        <v>1036</v>
      </c>
      <c r="F34" s="647">
        <f>SUM(F4:F32)</f>
        <v>693</v>
      </c>
      <c r="G34" s="647">
        <f>SUM(G4:G32)</f>
        <v>693</v>
      </c>
      <c r="I34" s="644">
        <f>SUM(I4:I32)</f>
        <v>86450</v>
      </c>
    </row>
    <row r="36" spans="1:9">
      <c r="A36" s="648" t="s">
        <v>536</v>
      </c>
      <c r="B36" s="648"/>
      <c r="C36" s="649">
        <f>C34*27.5</f>
        <v>28490</v>
      </c>
      <c r="D36" s="649">
        <f>D34*22.5</f>
        <v>23310</v>
      </c>
      <c r="E36" s="649"/>
      <c r="F36" s="649">
        <f>F34*27.5</f>
        <v>19057.5</v>
      </c>
      <c r="G36" s="649">
        <f>G34*22.5</f>
        <v>15592.5</v>
      </c>
      <c r="H36" s="649"/>
      <c r="I36" s="649">
        <f>SUM(C36:G36)</f>
        <v>86450</v>
      </c>
    </row>
    <row r="39" spans="1:9">
      <c r="C39" s="640" t="s">
        <v>297</v>
      </c>
      <c r="D39" s="640" t="s">
        <v>298</v>
      </c>
      <c r="E39" s="640" t="s">
        <v>103</v>
      </c>
    </row>
    <row r="40" spans="1:9">
      <c r="B40" s="640" t="s">
        <v>537</v>
      </c>
      <c r="C40" s="640">
        <f>C34</f>
        <v>1036</v>
      </c>
      <c r="D40" s="640">
        <f>F34</f>
        <v>693</v>
      </c>
      <c r="E40" s="640">
        <f>SUM(C40:D40)</f>
        <v>1729</v>
      </c>
    </row>
    <row r="41" spans="1:9">
      <c r="B41" s="640" t="s">
        <v>538</v>
      </c>
      <c r="C41" s="645">
        <f>D34</f>
        <v>1036</v>
      </c>
      <c r="D41" s="645">
        <f>G34</f>
        <v>693</v>
      </c>
      <c r="E41" s="645">
        <f>SUM(C41:D41)</f>
        <v>1729</v>
      </c>
    </row>
    <row r="42" spans="1:9">
      <c r="B42" s="640" t="s">
        <v>539</v>
      </c>
      <c r="C42" s="640">
        <f>SUM(C40:C41)</f>
        <v>2072</v>
      </c>
      <c r="D42" s="640">
        <f>SUM(D40:D41)</f>
        <v>1386</v>
      </c>
      <c r="E42" s="640">
        <f>SUM(E40:E41)</f>
        <v>3458</v>
      </c>
    </row>
    <row r="43" spans="1:9">
      <c r="B43" s="650" t="s">
        <v>389</v>
      </c>
      <c r="C43" s="651">
        <f>C42/E42</f>
        <v>0.59919028340080971</v>
      </c>
      <c r="D43" s="651">
        <f>D42/E42</f>
        <v>0.40080971659919029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36"/>
  <sheetViews>
    <sheetView zoomScale="80" zoomScaleNormal="80" workbookViewId="0">
      <selection activeCell="E24" sqref="E24"/>
    </sheetView>
  </sheetViews>
  <sheetFormatPr defaultColWidth="8.88671875" defaultRowHeight="15"/>
  <cols>
    <col min="1" max="1" width="9.109375" style="338" bestFit="1" customWidth="1"/>
    <col min="2" max="2" width="0.6640625" style="341" customWidth="1"/>
    <col min="3" max="4" width="8.44140625" style="338" bestFit="1" customWidth="1"/>
    <col min="5" max="5" width="9.33203125" style="338" customWidth="1"/>
    <col min="6" max="6" width="11.6640625" style="338" customWidth="1"/>
    <col min="7" max="7" width="8.21875" style="338" bestFit="1" customWidth="1"/>
    <col min="8" max="8" width="8.44140625" style="338" bestFit="1" customWidth="1"/>
    <col min="9" max="9" width="0.6640625" style="338" customWidth="1"/>
    <col min="10" max="11" width="7.6640625" style="338" bestFit="1" customWidth="1"/>
    <col min="12" max="12" width="8.44140625" style="338" bestFit="1" customWidth="1"/>
    <col min="13" max="14" width="7.6640625" style="338" bestFit="1" customWidth="1"/>
    <col min="15" max="15" width="8.44140625" style="338" bestFit="1" customWidth="1"/>
    <col min="16" max="16" width="0.6640625" style="338" customWidth="1"/>
    <col min="17" max="18" width="8.44140625" style="338" bestFit="1" customWidth="1"/>
    <col min="19" max="19" width="0.6640625" style="338" customWidth="1"/>
    <col min="20" max="20" width="8.44140625" style="338" bestFit="1" customWidth="1"/>
    <col min="21" max="16384" width="8.88671875" style="338"/>
  </cols>
  <sheetData>
    <row r="1" spans="1:20" ht="15.75" thickTop="1">
      <c r="A1" s="335"/>
      <c r="B1" s="336"/>
      <c r="C1" s="335"/>
      <c r="D1" s="335"/>
      <c r="E1" s="335" t="s">
        <v>299</v>
      </c>
      <c r="F1" s="335"/>
      <c r="G1" s="335"/>
      <c r="H1" s="335"/>
      <c r="I1" s="336"/>
      <c r="J1" s="335"/>
      <c r="K1" s="335"/>
      <c r="L1" s="335" t="s">
        <v>300</v>
      </c>
      <c r="M1" s="335"/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302</v>
      </c>
      <c r="D3" s="344" t="s">
        <v>303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 t="s">
        <v>321</v>
      </c>
      <c r="B5" s="340"/>
      <c r="C5" s="357">
        <f>[15]Jan!$C$36</f>
        <v>63.5</v>
      </c>
      <c r="D5" s="357">
        <f>[15]Jan!$D$36</f>
        <v>30.25</v>
      </c>
      <c r="E5" s="357">
        <f>[15]Jan!$E$36</f>
        <v>0</v>
      </c>
      <c r="F5" s="357">
        <f>[15]Jan!$F$36</f>
        <v>30.25</v>
      </c>
      <c r="G5" s="357">
        <f>[15]Jan!$G$36</f>
        <v>6.5</v>
      </c>
      <c r="H5" s="340"/>
      <c r="I5" s="340"/>
      <c r="J5" s="357">
        <f>[15]Jan!$J$36</f>
        <v>20.5</v>
      </c>
      <c r="K5" s="357">
        <f>[15]Jan!$K$36</f>
        <v>6</v>
      </c>
      <c r="L5" s="357">
        <f>[15]Jan!$L$36</f>
        <v>0</v>
      </c>
      <c r="M5" s="357">
        <f>[15]Jan!$M$36</f>
        <v>13.5</v>
      </c>
      <c r="N5" s="357">
        <f>[15]Jan!$N$36</f>
        <v>34.75</v>
      </c>
      <c r="P5" s="340"/>
      <c r="Q5" s="357">
        <f>[15]Jan!$Q$36</f>
        <v>95</v>
      </c>
      <c r="R5" s="360">
        <v>173.333</v>
      </c>
      <c r="S5" s="340"/>
      <c r="T5" s="343"/>
    </row>
    <row r="6" spans="1:20">
      <c r="A6" s="339" t="s">
        <v>322</v>
      </c>
      <c r="B6" s="340"/>
      <c r="C6" s="357">
        <f>[15]Feb!$C$36</f>
        <v>47.5</v>
      </c>
      <c r="D6" s="357">
        <f>[15]Feb!$D$36</f>
        <v>15.5</v>
      </c>
      <c r="E6" s="357">
        <f>[15]Feb!$E$36</f>
        <v>23.25</v>
      </c>
      <c r="F6" s="357">
        <f>[15]Feb!$F$36</f>
        <v>15.5</v>
      </c>
      <c r="G6" s="357">
        <f>[15]Feb!$G$36</f>
        <v>10.5</v>
      </c>
      <c r="H6" s="340"/>
      <c r="I6" s="340"/>
      <c r="J6" s="357">
        <f>[15]Feb!$J$36</f>
        <v>8.25</v>
      </c>
      <c r="K6" s="357">
        <f>[15]Feb!$K$36</f>
        <v>4</v>
      </c>
      <c r="L6" s="357">
        <f>[15]Feb!L$36</f>
        <v>32.75</v>
      </c>
      <c r="M6" s="357">
        <f>[15]Feb!$M$36</f>
        <v>7.5</v>
      </c>
      <c r="N6" s="357">
        <f>[15]Feb!$N$36</f>
        <v>31.5</v>
      </c>
      <c r="P6" s="340"/>
      <c r="Q6" s="357">
        <f>[15]Feb!$Q$36</f>
        <v>45</v>
      </c>
      <c r="R6" s="360">
        <v>173.333</v>
      </c>
      <c r="S6" s="340"/>
      <c r="T6" s="343"/>
    </row>
    <row r="7" spans="1:20">
      <c r="A7" s="339" t="s">
        <v>312</v>
      </c>
      <c r="B7" s="340"/>
      <c r="C7" s="357">
        <f>[15]Mar!$C$36</f>
        <v>52</v>
      </c>
      <c r="D7" s="357">
        <f>[15]Mar!$D$36</f>
        <v>15.5</v>
      </c>
      <c r="E7" s="357">
        <f>[15]Mar!$E$36</f>
        <v>16.5</v>
      </c>
      <c r="F7" s="357">
        <f>[15]Mar!$F$36</f>
        <v>16</v>
      </c>
      <c r="G7" s="357">
        <f>[15]Mar!$G$36</f>
        <v>8</v>
      </c>
      <c r="H7" s="340"/>
      <c r="I7" s="340"/>
      <c r="J7" s="357">
        <f>[15]Mar!$J$36</f>
        <v>19</v>
      </c>
      <c r="K7" s="357">
        <f>[15]Mar!$K$36</f>
        <v>3</v>
      </c>
      <c r="L7" s="357">
        <f>[15]Mar!$L$36</f>
        <v>40.25</v>
      </c>
      <c r="M7" s="357">
        <f>[15]Mar!$M$36</f>
        <v>8.0500000000000007</v>
      </c>
      <c r="N7" s="357">
        <f>[15]Mar!$N$36</f>
        <v>36.5</v>
      </c>
      <c r="P7" s="340"/>
      <c r="Q7" s="357">
        <f>[15]Mar!$Q$36</f>
        <v>100</v>
      </c>
      <c r="R7" s="360">
        <v>173.333</v>
      </c>
      <c r="S7" s="340"/>
      <c r="T7" s="343"/>
    </row>
    <row r="8" spans="1:20">
      <c r="A8" s="339" t="s">
        <v>315</v>
      </c>
      <c r="B8" s="340"/>
      <c r="C8" s="357">
        <f>[15]Apr!$C$36</f>
        <v>42</v>
      </c>
      <c r="D8" s="357">
        <f>[15]Apr!$D$36</f>
        <v>18</v>
      </c>
      <c r="E8" s="357">
        <f>[15]Apr!$E$36</f>
        <v>23</v>
      </c>
      <c r="F8" s="357">
        <f>[15]Apr!$F$36</f>
        <v>17.25</v>
      </c>
      <c r="G8" s="357">
        <f>[15]Apr!$G$36</f>
        <v>10</v>
      </c>
      <c r="H8" s="340"/>
      <c r="I8" s="340"/>
      <c r="J8" s="357">
        <f>[15]Apr!$J$36</f>
        <v>17.75</v>
      </c>
      <c r="K8" s="357">
        <f>[15]Apr!$K$36</f>
        <v>6</v>
      </c>
      <c r="L8" s="357">
        <f>[15]Apr!L$36</f>
        <v>46.75</v>
      </c>
      <c r="M8" s="357">
        <f>[15]Apr!$M$36</f>
        <v>9.5</v>
      </c>
      <c r="N8" s="357">
        <f>[15]Apr!$N$36</f>
        <v>39.75</v>
      </c>
      <c r="P8" s="340"/>
      <c r="Q8" s="357">
        <f>[15]Apr!$Q$36</f>
        <v>83</v>
      </c>
      <c r="R8" s="360">
        <v>173.333</v>
      </c>
      <c r="S8" s="340"/>
      <c r="T8" s="343"/>
    </row>
    <row r="9" spans="1:20">
      <c r="A9" s="339" t="s">
        <v>230</v>
      </c>
      <c r="B9" s="340"/>
      <c r="C9" s="357">
        <f>[15]May!$C$36</f>
        <v>60.5</v>
      </c>
      <c r="D9" s="357">
        <f>[15]May!$D$36</f>
        <v>17</v>
      </c>
      <c r="E9" s="357">
        <f>[15]May!$E$36</f>
        <v>15.75</v>
      </c>
      <c r="F9" s="357">
        <f>[15]May!$F$36</f>
        <v>16.5</v>
      </c>
      <c r="G9" s="357">
        <f>[15]May!$G$36</f>
        <v>8.75</v>
      </c>
      <c r="H9" s="340"/>
      <c r="I9" s="340"/>
      <c r="J9" s="357">
        <f>[15]May!$J$36</f>
        <v>30</v>
      </c>
      <c r="K9" s="357">
        <f>[15]May!$K$36</f>
        <v>2</v>
      </c>
      <c r="L9" s="357">
        <f>[15]May!L$36</f>
        <v>43.25</v>
      </c>
      <c r="M9" s="357">
        <f>[15]May!$M$36</f>
        <v>8.5</v>
      </c>
      <c r="N9" s="357">
        <f>[15]May!$N$36</f>
        <v>34</v>
      </c>
      <c r="P9" s="340"/>
      <c r="Q9" s="357">
        <f>[15]May!$Q$36</f>
        <v>85.75</v>
      </c>
      <c r="R9" s="360">
        <v>173.333</v>
      </c>
      <c r="S9" s="340"/>
      <c r="T9" s="343"/>
    </row>
    <row r="10" spans="1:20">
      <c r="A10" s="339" t="s">
        <v>316</v>
      </c>
      <c r="B10" s="340"/>
      <c r="C10" s="357">
        <f>[15]June!$C$36</f>
        <v>51.5</v>
      </c>
      <c r="D10" s="357">
        <f>[15]June!$D$36</f>
        <v>18</v>
      </c>
      <c r="E10" s="357">
        <f>[15]June!$E$36</f>
        <v>25.75</v>
      </c>
      <c r="F10" s="357">
        <f>[15]June!$F$36</f>
        <v>14.25</v>
      </c>
      <c r="G10" s="357">
        <f>[15]June!$G$36</f>
        <v>11.75</v>
      </c>
      <c r="H10" s="340"/>
      <c r="I10" s="340"/>
      <c r="J10" s="357">
        <f>[15]June!$J$36</f>
        <v>14.5</v>
      </c>
      <c r="K10" s="357">
        <f>[15]June!$K$36</f>
        <v>3</v>
      </c>
      <c r="L10" s="357">
        <f>[15]June!L$36</f>
        <v>46.75</v>
      </c>
      <c r="M10" s="357">
        <f>[15]June!$M$36</f>
        <v>16.5</v>
      </c>
      <c r="N10" s="357">
        <f>[15]June!$N$36</f>
        <v>44.25</v>
      </c>
      <c r="P10" s="340"/>
      <c r="Q10" s="357">
        <f>[15]June!$Q$36</f>
        <v>94</v>
      </c>
      <c r="R10" s="360">
        <v>173.333</v>
      </c>
      <c r="S10" s="340"/>
      <c r="T10" s="343"/>
    </row>
    <row r="11" spans="1:20">
      <c r="A11" s="339" t="s">
        <v>317</v>
      </c>
      <c r="B11" s="340"/>
      <c r="C11" s="357">
        <f>[15]July!$C$36</f>
        <v>58.25</v>
      </c>
      <c r="D11" s="357">
        <f>[15]July!$D$36</f>
        <v>31</v>
      </c>
      <c r="E11" s="357">
        <f>[15]July!$E$36</f>
        <v>11</v>
      </c>
      <c r="F11" s="357">
        <f>[15]July!$F$36</f>
        <v>28.5</v>
      </c>
      <c r="G11" s="357">
        <f>[15]July!$G$36</f>
        <v>11.25</v>
      </c>
      <c r="H11" s="340"/>
      <c r="I11" s="340"/>
      <c r="J11" s="357">
        <f>[15]July!$J$36</f>
        <v>52.75</v>
      </c>
      <c r="K11" s="357">
        <f>[15]July!$K$36</f>
        <v>4</v>
      </c>
      <c r="L11" s="357">
        <f>[15]July!L$36</f>
        <v>84.5</v>
      </c>
      <c r="M11" s="357">
        <f>[15]July!$M$36</f>
        <v>35</v>
      </c>
      <c r="N11" s="357">
        <f>[15]July!$N$36</f>
        <v>72.25</v>
      </c>
      <c r="P11" s="340"/>
      <c r="Q11" s="357">
        <f>[15]July!$Q$36</f>
        <v>126.75</v>
      </c>
      <c r="R11" s="360">
        <v>173.333</v>
      </c>
      <c r="S11" s="340"/>
      <c r="T11" s="343"/>
    </row>
    <row r="12" spans="1:20">
      <c r="A12" s="339" t="s">
        <v>323</v>
      </c>
      <c r="B12" s="340"/>
      <c r="C12" s="357">
        <f>[15]Aug!$C$36</f>
        <v>61</v>
      </c>
      <c r="D12" s="357">
        <f>[15]Aug!$D$36</f>
        <v>19.75</v>
      </c>
      <c r="E12" s="357">
        <f>[15]Aug!$E$36</f>
        <v>14.75</v>
      </c>
      <c r="F12" s="357">
        <f>[15]Aug!$F$36</f>
        <v>27</v>
      </c>
      <c r="G12" s="357">
        <f>[15]Aug!$G$36</f>
        <v>3.75</v>
      </c>
      <c r="H12" s="340"/>
      <c r="I12" s="340"/>
      <c r="J12" s="357">
        <f>[15]Aug!$J$36</f>
        <v>36.5</v>
      </c>
      <c r="K12" s="357">
        <f>[15]Aug!$K$36</f>
        <v>10</v>
      </c>
      <c r="L12" s="357">
        <f>[15]Aug!L$36</f>
        <v>82.75</v>
      </c>
      <c r="M12" s="357">
        <f>[15]Aug!$M$36</f>
        <v>21.5</v>
      </c>
      <c r="N12" s="357">
        <f>[15]Aug!$N$36</f>
        <v>91.75</v>
      </c>
      <c r="P12" s="340"/>
      <c r="Q12" s="357">
        <f>[15]Aug!$Q$36</f>
        <v>125.25</v>
      </c>
      <c r="R12" s="360">
        <v>173.333</v>
      </c>
      <c r="S12" s="340"/>
      <c r="T12" s="343"/>
    </row>
    <row r="13" spans="1:20">
      <c r="A13" s="339" t="s">
        <v>324</v>
      </c>
      <c r="B13" s="340"/>
      <c r="C13" s="357">
        <f>[15]Sept!$C$36</f>
        <v>55.25</v>
      </c>
      <c r="D13" s="357">
        <f>[15]Sept!$D$36</f>
        <v>19.5</v>
      </c>
      <c r="E13" s="357">
        <f>[15]Sept!$E$36</f>
        <v>13.25</v>
      </c>
      <c r="F13" s="357">
        <f>[15]Sept!$F$36</f>
        <v>17.5</v>
      </c>
      <c r="G13" s="357">
        <f>[15]Sept!$G$36</f>
        <v>20</v>
      </c>
      <c r="H13" s="340"/>
      <c r="I13" s="340"/>
      <c r="J13" s="357">
        <f>[15]Sept!$J$36</f>
        <v>35.75</v>
      </c>
      <c r="K13" s="357">
        <f>[15]Sept!$K$36</f>
        <v>1</v>
      </c>
      <c r="L13" s="357">
        <f>[15]Sept!L$36</f>
        <v>39.75</v>
      </c>
      <c r="M13" s="357">
        <f>[15]Sept!$M$36</f>
        <v>9</v>
      </c>
      <c r="N13" s="357">
        <f>[15]Sept!$N$36</f>
        <v>34.75</v>
      </c>
      <c r="P13" s="340"/>
      <c r="Q13" s="357">
        <f>[15]Sept!$Q$36</f>
        <v>80</v>
      </c>
      <c r="R13" s="360">
        <v>173.333</v>
      </c>
      <c r="S13" s="340"/>
      <c r="T13" s="343"/>
    </row>
    <row r="14" spans="1:20">
      <c r="A14" s="339" t="s">
        <v>319</v>
      </c>
      <c r="B14" s="340"/>
      <c r="C14" s="357">
        <f>[15]Oct!$C$36</f>
        <v>63.75</v>
      </c>
      <c r="D14" s="357">
        <f>[15]Oct!$D$36</f>
        <v>22</v>
      </c>
      <c r="E14" s="357">
        <f>[15]Oct!$E$36</f>
        <v>12.5</v>
      </c>
      <c r="F14" s="357">
        <f>[15]Oct!$F$36</f>
        <v>15.5</v>
      </c>
      <c r="G14" s="357">
        <f>[15]Oct!$G$36</f>
        <v>3.75</v>
      </c>
      <c r="H14" s="340"/>
      <c r="I14" s="340"/>
      <c r="J14" s="357">
        <f>[15]Oct!$J$36</f>
        <v>24.5</v>
      </c>
      <c r="K14" s="357">
        <f>[15]Oct!$K$36</f>
        <v>0</v>
      </c>
      <c r="L14" s="357">
        <f>[15]Oct!L$36</f>
        <v>42.5</v>
      </c>
      <c r="M14" s="357">
        <f>[15]Oct!$M$36</f>
        <v>17</v>
      </c>
      <c r="N14" s="357">
        <f>[15]Oct!$N$36</f>
        <v>30.25</v>
      </c>
      <c r="P14" s="340"/>
      <c r="Q14" s="357">
        <f>[15]Oct!$Q$36</f>
        <v>96.25</v>
      </c>
      <c r="R14" s="360">
        <v>173.333</v>
      </c>
      <c r="S14" s="340"/>
      <c r="T14" s="343"/>
    </row>
    <row r="15" spans="1:20">
      <c r="A15" s="339" t="s">
        <v>325</v>
      </c>
      <c r="B15" s="340"/>
      <c r="C15" s="357">
        <f>[15]Nov!$C$36</f>
        <v>60.25</v>
      </c>
      <c r="D15" s="357">
        <f>[15]Nov!$D$36</f>
        <v>17</v>
      </c>
      <c r="E15" s="357">
        <f>[15]Nov!$E$36</f>
        <v>9.25</v>
      </c>
      <c r="F15" s="357">
        <f>[15]Nov!$F$36</f>
        <v>16.75</v>
      </c>
      <c r="G15" s="357">
        <f>[15]Nov!$G$36</f>
        <v>14.5</v>
      </c>
      <c r="H15" s="340"/>
      <c r="I15" s="340"/>
      <c r="J15" s="357">
        <f>[15]Nov!$J$36</f>
        <v>18</v>
      </c>
      <c r="K15" s="357">
        <f>[15]Nov!$K$36</f>
        <v>5</v>
      </c>
      <c r="L15" s="357">
        <f>[15]Nov!L$36</f>
        <v>38.75</v>
      </c>
      <c r="M15" s="357">
        <f>[15]Nov!$M$36</f>
        <v>17.75</v>
      </c>
      <c r="N15" s="357">
        <f>[15]Nov!$N$36</f>
        <v>24.75</v>
      </c>
      <c r="P15" s="340"/>
      <c r="Q15" s="357">
        <f>[15]Nov!$Q$36</f>
        <v>80.75</v>
      </c>
      <c r="R15" s="360">
        <v>173.333</v>
      </c>
      <c r="S15" s="340"/>
      <c r="T15" s="343"/>
    </row>
    <row r="16" spans="1:20">
      <c r="A16" s="339" t="s">
        <v>326</v>
      </c>
      <c r="B16" s="340"/>
      <c r="C16" s="357">
        <f>[15]Dec!$C$36</f>
        <v>45.25</v>
      </c>
      <c r="D16" s="357">
        <f>[15]Dec!$D$36</f>
        <v>18</v>
      </c>
      <c r="E16" s="357">
        <f>[15]Dec!$E$36</f>
        <v>0</v>
      </c>
      <c r="F16" s="357">
        <f>[15]Dec!$F$36</f>
        <v>15.75</v>
      </c>
      <c r="G16" s="357">
        <f>[15]Dec!$G$36</f>
        <v>1.25</v>
      </c>
      <c r="H16" s="340"/>
      <c r="I16" s="340"/>
      <c r="J16" s="357">
        <f>[15]Dec!$J$36</f>
        <v>17.5</v>
      </c>
      <c r="K16" s="357">
        <f>[15]Dec!$K$36</f>
        <v>1</v>
      </c>
      <c r="L16" s="357">
        <f>[15]Dec!L$36</f>
        <v>33</v>
      </c>
      <c r="M16" s="357">
        <f>[15]Dec!$M$36</f>
        <v>4.5</v>
      </c>
      <c r="N16" s="357">
        <f>[15]Dec!$N$36</f>
        <v>26.75</v>
      </c>
      <c r="P16" s="340"/>
      <c r="Q16" s="357">
        <f>[15]Dec!$Q$36</f>
        <v>68.75</v>
      </c>
      <c r="R16" s="360">
        <v>173.333</v>
      </c>
      <c r="S16" s="340"/>
      <c r="T16" s="343"/>
    </row>
    <row r="17" spans="1:20">
      <c r="A17" s="339"/>
      <c r="B17" s="340"/>
      <c r="H17" s="340"/>
      <c r="I17" s="340"/>
      <c r="P17" s="340"/>
      <c r="S17" s="340"/>
      <c r="T17" s="343"/>
    </row>
    <row r="18" spans="1:20">
      <c r="A18" s="339"/>
      <c r="B18" s="340"/>
      <c r="H18" s="340"/>
      <c r="I18" s="340"/>
      <c r="P18" s="340"/>
      <c r="S18" s="340"/>
      <c r="T18" s="343"/>
    </row>
    <row r="19" spans="1:20" ht="15.75" thickBot="1">
      <c r="A19" s="348"/>
      <c r="B19" s="349"/>
      <c r="C19" s="348">
        <f>SUM(C5:C18)</f>
        <v>660.75</v>
      </c>
      <c r="D19" s="348">
        <f>SUM(D5:D18)</f>
        <v>241.5</v>
      </c>
      <c r="E19" s="348">
        <f>SUM(E5:E16)</f>
        <v>165</v>
      </c>
      <c r="F19" s="348">
        <f>SUM(F5:F16)</f>
        <v>230.75</v>
      </c>
      <c r="G19" s="348">
        <f>SUM(G5:G16)</f>
        <v>110</v>
      </c>
      <c r="H19" s="349"/>
      <c r="I19" s="349"/>
      <c r="J19" s="348">
        <f>SUM(J5:J16)</f>
        <v>295</v>
      </c>
      <c r="K19" s="348">
        <f>SUM(K5:K16)</f>
        <v>45</v>
      </c>
      <c r="L19" s="348">
        <f>SUM(L5:L16)</f>
        <v>531</v>
      </c>
      <c r="M19" s="348">
        <f>SUM(M5:M16)</f>
        <v>168.3</v>
      </c>
      <c r="N19" s="348">
        <f>SUM(N5:N16)</f>
        <v>501.25</v>
      </c>
      <c r="O19" s="348"/>
      <c r="P19" s="349"/>
      <c r="Q19" s="348">
        <f>SUM(Q5:Q16)</f>
        <v>1080.5</v>
      </c>
      <c r="R19" s="361">
        <f>SUM(R5:R16)</f>
        <v>2079.9960000000005</v>
      </c>
      <c r="S19" s="349"/>
      <c r="T19" s="355"/>
    </row>
    <row r="20" spans="1:20" ht="15.75" thickTop="1">
      <c r="A20" s="338" t="s">
        <v>48</v>
      </c>
      <c r="C20" s="356">
        <v>20</v>
      </c>
      <c r="D20" s="356">
        <v>22.5</v>
      </c>
      <c r="E20" s="356">
        <v>20</v>
      </c>
      <c r="F20" s="356">
        <v>20</v>
      </c>
      <c r="G20" s="356">
        <v>20</v>
      </c>
      <c r="H20" s="356"/>
      <c r="I20" s="356"/>
      <c r="J20" s="356">
        <v>22.5</v>
      </c>
      <c r="K20" s="356">
        <v>22.5</v>
      </c>
      <c r="L20" s="356">
        <v>20</v>
      </c>
      <c r="M20" s="356">
        <v>25</v>
      </c>
      <c r="N20" s="356">
        <v>17</v>
      </c>
      <c r="O20" s="356"/>
      <c r="P20" s="356"/>
      <c r="Q20" s="356">
        <v>25</v>
      </c>
      <c r="R20" s="356">
        <v>21.6346153846</v>
      </c>
    </row>
    <row r="21" spans="1:20">
      <c r="C21" s="362">
        <f>SUM(C19*C20)</f>
        <v>13215</v>
      </c>
      <c r="D21" s="363">
        <f>SUM(D19*D20)</f>
        <v>5433.75</v>
      </c>
      <c r="E21" s="362">
        <f t="shared" ref="E21:G21" si="0">SUM(E19*E20)</f>
        <v>3300</v>
      </c>
      <c r="F21" s="363">
        <f t="shared" si="0"/>
        <v>4615</v>
      </c>
      <c r="G21" s="364">
        <f t="shared" si="0"/>
        <v>2200</v>
      </c>
      <c r="H21" s="356">
        <f>SUM(C21:G21)</f>
        <v>28763.75</v>
      </c>
      <c r="J21" s="365">
        <f t="shared" ref="J21:N21" si="1">SUM(J19*J20)</f>
        <v>6637.5</v>
      </c>
      <c r="K21" s="365">
        <f t="shared" si="1"/>
        <v>1012.5</v>
      </c>
      <c r="L21" s="366">
        <f t="shared" si="1"/>
        <v>10620</v>
      </c>
      <c r="M21" s="366">
        <f t="shared" si="1"/>
        <v>4207.5</v>
      </c>
      <c r="N21" s="366">
        <f t="shared" si="1"/>
        <v>8521.25</v>
      </c>
      <c r="O21" s="356">
        <f>SUM(J21:N21)</f>
        <v>30998.75</v>
      </c>
      <c r="Q21" s="367">
        <f>SUM(Q19*Q20)</f>
        <v>27012.5</v>
      </c>
      <c r="R21" s="367">
        <f t="shared" ref="R21" si="2">SUM(R19*R20)</f>
        <v>44999.913461506476</v>
      </c>
      <c r="T21" s="356">
        <f>SUM(Q21:S21)</f>
        <v>72012.413461506483</v>
      </c>
    </row>
    <row r="23" spans="1:20">
      <c r="E23" s="368" t="s">
        <v>327</v>
      </c>
      <c r="F23" s="368" t="s">
        <v>328</v>
      </c>
      <c r="G23" s="368" t="s">
        <v>498</v>
      </c>
    </row>
    <row r="24" spans="1:20">
      <c r="C24" s="368" t="s">
        <v>297</v>
      </c>
      <c r="D24" s="369">
        <f>SUM(C21+E21)+G21</f>
        <v>18715</v>
      </c>
      <c r="E24" s="659">
        <f>($C$19+$E$19+G19+J19)/($C$19+$D$19+$E$19+$F$19+$G$19+J19)</f>
        <v>0.72269524368761007</v>
      </c>
      <c r="F24" s="369">
        <f>E24*($Q$21+$R$21)</f>
        <v>52043.028695096356</v>
      </c>
      <c r="G24" s="505">
        <f>F24*L32</f>
        <v>24851.735396278058</v>
      </c>
    </row>
    <row r="25" spans="1:20">
      <c r="C25" s="368" t="s">
        <v>298</v>
      </c>
      <c r="D25" s="369">
        <f>SUM(D21+F21)</f>
        <v>10048.75</v>
      </c>
      <c r="E25" s="659">
        <f>($D$19+$F$19)/($C$19+$D$19+$E$19+$F$19+$G$19+J19)</f>
        <v>0.27730475631238988</v>
      </c>
      <c r="F25" s="369">
        <f>E25*($Q$21+$R$21)</f>
        <v>19969.384766410119</v>
      </c>
      <c r="G25" s="505">
        <f>F25*L32</f>
        <v>9535.83753068642</v>
      </c>
    </row>
    <row r="26" spans="1:20">
      <c r="E26" s="445">
        <f>SUM(E24:E25)</f>
        <v>1</v>
      </c>
      <c r="K26" s="438" t="s">
        <v>329</v>
      </c>
    </row>
    <row r="29" spans="1:20">
      <c r="C29" s="438" t="s">
        <v>330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</row>
    <row r="30" spans="1:20">
      <c r="C30" s="438" t="s">
        <v>331</v>
      </c>
      <c r="D30" s="438"/>
      <c r="E30" s="438"/>
      <c r="F30" s="438"/>
      <c r="G30" s="438"/>
      <c r="H30" s="438"/>
      <c r="I30" s="438"/>
      <c r="J30" s="438"/>
      <c r="K30" s="438" t="s">
        <v>477</v>
      </c>
      <c r="L30" s="438">
        <f>SUM(C19:N19)</f>
        <v>2948.55</v>
      </c>
      <c r="M30" s="438"/>
      <c r="N30" s="438"/>
    </row>
    <row r="31" spans="1:20">
      <c r="C31" s="438" t="s">
        <v>332</v>
      </c>
      <c r="D31" s="438"/>
      <c r="E31" s="438"/>
      <c r="F31" s="438"/>
      <c r="G31" s="438"/>
      <c r="H31" s="438"/>
      <c r="I31" s="438"/>
      <c r="J31" s="438"/>
      <c r="K31" s="438" t="s">
        <v>478</v>
      </c>
      <c r="L31" s="438">
        <f>SUM(C19:G19)</f>
        <v>1408</v>
      </c>
      <c r="M31" s="438"/>
      <c r="N31" s="438"/>
    </row>
    <row r="32" spans="1:20">
      <c r="C32" s="438"/>
      <c r="D32" s="438"/>
      <c r="E32" s="438"/>
      <c r="F32" s="438"/>
      <c r="G32" s="438"/>
      <c r="H32" s="438"/>
      <c r="I32" s="438"/>
      <c r="J32" s="438"/>
      <c r="K32" s="438"/>
      <c r="L32" s="439">
        <f>L31/L30</f>
        <v>0.47752285021451218</v>
      </c>
      <c r="M32" s="438" t="s">
        <v>299</v>
      </c>
      <c r="N32" s="438"/>
    </row>
    <row r="33" spans="3:14"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</row>
    <row r="34" spans="3:14">
      <c r="C34" s="438"/>
      <c r="D34" s="438"/>
      <c r="E34" s="441" t="s">
        <v>103</v>
      </c>
      <c r="F34" s="442">
        <f>T21+O21+H21</f>
        <v>131774.91346150648</v>
      </c>
      <c r="G34" s="438"/>
      <c r="H34" s="438"/>
      <c r="I34" s="438"/>
      <c r="J34" s="438"/>
      <c r="K34" s="438"/>
      <c r="L34" s="440">
        <f>1-L32</f>
        <v>0.52247714978548787</v>
      </c>
      <c r="M34" s="438" t="s">
        <v>479</v>
      </c>
      <c r="N34" s="438"/>
    </row>
    <row r="35" spans="3:14">
      <c r="C35" s="438"/>
      <c r="D35" s="438"/>
      <c r="E35" s="443" t="s">
        <v>480</v>
      </c>
      <c r="F35" s="444">
        <f>F34-O21-(T21*L34)</f>
        <v>63151.32292696448</v>
      </c>
      <c r="G35" s="438"/>
      <c r="H35" s="438"/>
      <c r="I35" s="438"/>
      <c r="J35" s="438"/>
      <c r="K35" s="438"/>
      <c r="L35" s="438"/>
      <c r="M35" s="438"/>
      <c r="N35" s="438"/>
    </row>
    <row r="36" spans="3:14"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3:T19"/>
  <sheetViews>
    <sheetView zoomScale="70" zoomScaleNormal="70" workbookViewId="0">
      <selection activeCell="N13" sqref="N13"/>
    </sheetView>
  </sheetViews>
  <sheetFormatPr defaultColWidth="8.88671875" defaultRowHeight="21"/>
  <cols>
    <col min="1" max="1" width="8.88671875" style="490"/>
    <col min="2" max="2" width="0.6640625" style="490" customWidth="1"/>
    <col min="3" max="4" width="8.88671875" style="490"/>
    <col min="5" max="5" width="17.21875" style="490" customWidth="1"/>
    <col min="6" max="6" width="18.88671875" style="490" customWidth="1"/>
    <col min="7" max="7" width="11.21875" style="490" customWidth="1"/>
    <col min="8" max="8" width="15.77734375" style="490" bestFit="1" customWidth="1"/>
    <col min="9" max="9" width="0.6640625" style="490" customWidth="1"/>
    <col min="10" max="10" width="14.88671875" style="490" customWidth="1"/>
    <col min="11" max="11" width="4" style="490" customWidth="1"/>
    <col min="12" max="12" width="15.33203125" style="490" customWidth="1"/>
    <col min="13" max="13" width="15.21875" style="490" bestFit="1" customWidth="1"/>
    <col min="14" max="14" width="16.77734375" style="490" customWidth="1"/>
    <col min="15" max="15" width="8.88671875" style="490"/>
    <col min="16" max="16" width="0.6640625" style="490" customWidth="1"/>
    <col min="17" max="18" width="8.88671875" style="490"/>
    <col min="19" max="19" width="0.6640625" style="490" customWidth="1"/>
    <col min="20" max="16384" width="8.88671875" style="490"/>
  </cols>
  <sheetData>
    <row r="3" spans="3:20"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</row>
    <row r="7" spans="3:20">
      <c r="C7" s="492"/>
      <c r="D7" s="492" t="s">
        <v>238</v>
      </c>
      <c r="E7" s="492" t="s">
        <v>489</v>
      </c>
      <c r="F7" s="510" t="s">
        <v>488</v>
      </c>
      <c r="G7" s="511" t="s">
        <v>48</v>
      </c>
      <c r="H7" s="511" t="s">
        <v>76</v>
      </c>
      <c r="J7" s="490" t="s">
        <v>504</v>
      </c>
      <c r="L7" s="490" t="s">
        <v>540</v>
      </c>
      <c r="M7" s="490" t="s">
        <v>541</v>
      </c>
      <c r="N7" s="490" t="s">
        <v>505</v>
      </c>
    </row>
    <row r="8" spans="3:20">
      <c r="C8" s="490" t="s">
        <v>390</v>
      </c>
      <c r="D8" s="490">
        <v>2017</v>
      </c>
      <c r="E8" s="490" t="s">
        <v>487</v>
      </c>
      <c r="F8" s="490">
        <v>358.46</v>
      </c>
      <c r="G8" s="508">
        <v>250</v>
      </c>
      <c r="H8" s="508">
        <f>G8*F8</f>
        <v>89615</v>
      </c>
      <c r="J8" s="512">
        <f>($H$12/$H$11)*H8</f>
        <v>107153.13398275823</v>
      </c>
      <c r="L8" s="656">
        <f>'[16]Staff calcs '!$W$55</f>
        <v>823.62418053059014</v>
      </c>
      <c r="M8" s="556">
        <f>G8</f>
        <v>250</v>
      </c>
      <c r="N8" s="512">
        <f>L8*M8</f>
        <v>205906.04513264753</v>
      </c>
    </row>
    <row r="9" spans="3:20">
      <c r="D9" s="490">
        <v>2017</v>
      </c>
      <c r="E9" s="490" t="s">
        <v>298</v>
      </c>
      <c r="F9" s="490">
        <v>136.16</v>
      </c>
      <c r="G9" s="508"/>
      <c r="H9" s="508"/>
      <c r="J9" s="512">
        <f t="shared" ref="J9:J10" si="0">($H$12/$H$11)*H9</f>
        <v>0</v>
      </c>
      <c r="N9" s="512">
        <f t="shared" ref="N9:N10" si="1">L9*M9</f>
        <v>0</v>
      </c>
    </row>
    <row r="10" spans="3:20">
      <c r="D10" s="490">
        <v>2017</v>
      </c>
      <c r="E10" s="490" t="s">
        <v>306</v>
      </c>
      <c r="F10" s="492">
        <v>67.25</v>
      </c>
      <c r="G10" s="508">
        <v>250</v>
      </c>
      <c r="H10" s="509">
        <f t="shared" ref="H10" si="2">G10*F10</f>
        <v>16812.5</v>
      </c>
      <c r="J10" s="513">
        <f t="shared" si="0"/>
        <v>20102.796017241788</v>
      </c>
      <c r="L10" s="657">
        <f>'[16]Staff calcs '!$W$56</f>
        <v>176.41693782226298</v>
      </c>
      <c r="M10" s="556">
        <f>G10</f>
        <v>250</v>
      </c>
      <c r="N10" s="513">
        <f t="shared" si="1"/>
        <v>44104.234455565747</v>
      </c>
    </row>
    <row r="11" spans="3:20">
      <c r="F11" s="490">
        <f>SUM(F8:F10)</f>
        <v>561.87</v>
      </c>
      <c r="G11" s="508"/>
      <c r="H11" s="508">
        <f>SUM(H8:H10)</f>
        <v>106427.5</v>
      </c>
      <c r="I11" s="508">
        <f t="shared" ref="I11:J11" si="3">SUM(I8:I10)</f>
        <v>0</v>
      </c>
      <c r="J11" s="508">
        <f t="shared" si="3"/>
        <v>127255.93000000002</v>
      </c>
      <c r="L11" s="656">
        <f>SUM(L8:L10)</f>
        <v>1000.0411183528531</v>
      </c>
      <c r="N11" s="508">
        <f t="shared" ref="N11" si="4">SUM(N8:N10)</f>
        <v>250010.27958821328</v>
      </c>
    </row>
    <row r="12" spans="3:20">
      <c r="G12" s="507" t="s">
        <v>501</v>
      </c>
      <c r="H12" s="509">
        <f>'Income Statement'!P21</f>
        <v>127255.93000000002</v>
      </c>
      <c r="L12" s="508"/>
    </row>
    <row r="13" spans="3:20">
      <c r="G13" s="507" t="s">
        <v>502</v>
      </c>
      <c r="H13" s="508">
        <f>H12-H11</f>
        <v>20828.430000000022</v>
      </c>
    </row>
    <row r="14" spans="3:20">
      <c r="E14" s="490" t="s">
        <v>490</v>
      </c>
      <c r="F14" s="490">
        <v>125</v>
      </c>
    </row>
    <row r="16" spans="3:20">
      <c r="E16" s="493" t="s">
        <v>491</v>
      </c>
      <c r="F16" s="494">
        <f>(F10*F14)+(F8*F14)</f>
        <v>53213.75</v>
      </c>
      <c r="G16" s="496">
        <f>F16/F19</f>
        <v>0.75766636410557597</v>
      </c>
    </row>
    <row r="17" spans="5:7">
      <c r="E17" s="493" t="s">
        <v>492</v>
      </c>
      <c r="F17" s="494">
        <f>F14*F9</f>
        <v>17020</v>
      </c>
      <c r="G17" s="496">
        <f>F17/F19</f>
        <v>0.24233363589442397</v>
      </c>
    </row>
    <row r="19" spans="5:7">
      <c r="E19" s="490" t="s">
        <v>493</v>
      </c>
      <c r="F19" s="495">
        <f>SUM(F16:F18)</f>
        <v>70233.75</v>
      </c>
    </row>
  </sheetData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3"/>
  <dimension ref="C3:X39"/>
  <sheetViews>
    <sheetView showGridLines="0" zoomScale="80" zoomScaleNormal="80" workbookViewId="0">
      <selection activeCell="C3" sqref="C3"/>
    </sheetView>
  </sheetViews>
  <sheetFormatPr defaultColWidth="8.88671875" defaultRowHeight="15.75"/>
  <cols>
    <col min="1" max="16384" width="8.88671875" style="181"/>
  </cols>
  <sheetData>
    <row r="3" spans="3:24" ht="25.5">
      <c r="C3" s="205" t="s">
        <v>137</v>
      </c>
    </row>
    <row r="4" spans="3:24" ht="26.25">
      <c r="C4" s="206" t="s">
        <v>128</v>
      </c>
    </row>
    <row r="5" spans="3:24" ht="26.25">
      <c r="C5" s="206" t="s">
        <v>129</v>
      </c>
    </row>
    <row r="6" spans="3:24" ht="26.25">
      <c r="C6" s="206"/>
    </row>
    <row r="8" spans="3:24" ht="20.25">
      <c r="C8" s="182" t="s">
        <v>130</v>
      </c>
      <c r="D8" s="180"/>
      <c r="E8" s="180"/>
      <c r="F8" s="180"/>
      <c r="G8" s="180"/>
      <c r="H8" s="180"/>
      <c r="I8" s="180"/>
      <c r="J8" s="180"/>
      <c r="K8" s="180"/>
      <c r="N8" s="180"/>
      <c r="O8" s="182" t="s">
        <v>122</v>
      </c>
      <c r="P8" s="180"/>
      <c r="Q8" s="180"/>
      <c r="R8" s="180"/>
      <c r="S8" s="180"/>
      <c r="T8" s="180"/>
      <c r="U8" s="180"/>
      <c r="V8" s="180"/>
      <c r="W8" s="180"/>
      <c r="X8" s="180"/>
    </row>
    <row r="9" spans="3:24">
      <c r="C9" s="180"/>
      <c r="D9" s="180"/>
      <c r="E9" s="180"/>
      <c r="F9" s="180"/>
      <c r="G9" s="180"/>
      <c r="H9" s="180"/>
      <c r="I9" s="180"/>
      <c r="J9" s="180"/>
      <c r="K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</row>
    <row r="10" spans="3:24" ht="18.75">
      <c r="C10" s="183" t="s">
        <v>131</v>
      </c>
      <c r="D10" s="180"/>
      <c r="E10" s="180"/>
      <c r="F10" s="180"/>
      <c r="G10" s="180"/>
      <c r="H10" s="180"/>
      <c r="I10" s="180"/>
      <c r="J10" s="180"/>
      <c r="K10" s="180"/>
      <c r="N10" s="180"/>
      <c r="O10" s="183" t="s">
        <v>123</v>
      </c>
      <c r="P10" s="180"/>
      <c r="Q10" s="180"/>
      <c r="R10" s="180"/>
      <c r="S10" s="180"/>
      <c r="T10" s="180"/>
      <c r="U10" s="180"/>
      <c r="V10" s="180"/>
      <c r="W10" s="180"/>
      <c r="X10" s="180"/>
    </row>
    <row r="11" spans="3:24" ht="18.75">
      <c r="C11" s="183" t="s">
        <v>132</v>
      </c>
      <c r="D11" s="183"/>
      <c r="E11" s="180"/>
      <c r="F11" s="180"/>
      <c r="G11" s="180"/>
      <c r="H11" s="180"/>
      <c r="I11" s="180"/>
      <c r="J11" s="180"/>
      <c r="K11" s="180"/>
      <c r="N11" s="180"/>
      <c r="O11" s="183" t="s">
        <v>133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3:24" ht="18.75">
      <c r="C12" s="183" t="s">
        <v>134</v>
      </c>
      <c r="D12" s="180"/>
      <c r="E12" s="180"/>
      <c r="F12" s="180"/>
      <c r="G12" s="180"/>
      <c r="H12" s="180"/>
      <c r="I12" s="180"/>
      <c r="J12" s="180"/>
      <c r="K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</row>
    <row r="13" spans="3:24" ht="18.75">
      <c r="C13" s="183" t="s">
        <v>135</v>
      </c>
      <c r="D13" s="180"/>
      <c r="E13" s="180"/>
      <c r="F13" s="180"/>
      <c r="G13" s="180"/>
      <c r="H13" s="180"/>
      <c r="I13" s="180"/>
      <c r="J13" s="180"/>
      <c r="K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</row>
    <row r="14" spans="3:24">
      <c r="C14" s="180"/>
      <c r="D14" s="180"/>
      <c r="E14" s="180"/>
      <c r="F14" s="180"/>
      <c r="G14" s="180"/>
      <c r="H14" s="180"/>
      <c r="I14" s="180"/>
      <c r="J14" s="180"/>
      <c r="K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</row>
    <row r="15" spans="3:24">
      <c r="C15" s="180"/>
      <c r="D15" s="180"/>
      <c r="E15" s="180"/>
      <c r="F15" s="180"/>
      <c r="G15" s="180"/>
      <c r="H15" s="180"/>
      <c r="I15" s="180"/>
      <c r="J15" s="180"/>
      <c r="K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</row>
    <row r="16" spans="3:24">
      <c r="C16" s="180"/>
      <c r="D16" s="180"/>
      <c r="E16" s="180"/>
      <c r="F16" s="180"/>
      <c r="G16" s="180"/>
      <c r="H16" s="180"/>
      <c r="I16" s="180"/>
      <c r="J16" s="180"/>
      <c r="K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</row>
    <row r="17" spans="3:24">
      <c r="C17" s="180"/>
      <c r="D17" s="180"/>
      <c r="E17" s="180"/>
      <c r="F17" s="180"/>
      <c r="G17" s="180"/>
      <c r="H17" s="180"/>
      <c r="I17" s="180"/>
      <c r="J17" s="180"/>
      <c r="K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3:24">
      <c r="C18" s="180"/>
      <c r="D18" s="180"/>
      <c r="E18" s="180"/>
      <c r="F18" s="180"/>
      <c r="G18" s="180"/>
      <c r="H18" s="180"/>
      <c r="I18" s="180"/>
      <c r="J18" s="180"/>
      <c r="K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</row>
    <row r="19" spans="3:24">
      <c r="C19" s="180"/>
      <c r="D19" s="180"/>
      <c r="E19" s="180"/>
      <c r="F19" s="180"/>
      <c r="G19" s="180"/>
      <c r="H19" s="180"/>
      <c r="I19" s="180"/>
      <c r="J19" s="180"/>
      <c r="K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</row>
    <row r="20" spans="3:24">
      <c r="C20" s="180"/>
      <c r="D20" s="180"/>
      <c r="E20" s="180"/>
      <c r="F20" s="180"/>
      <c r="G20" s="180"/>
      <c r="H20" s="180"/>
      <c r="I20" s="180"/>
      <c r="J20" s="180"/>
      <c r="K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</row>
    <row r="21" spans="3:24">
      <c r="C21" s="180"/>
      <c r="D21" s="180"/>
      <c r="E21" s="180"/>
      <c r="F21" s="180"/>
      <c r="G21" s="180"/>
      <c r="H21" s="180"/>
      <c r="I21" s="180"/>
      <c r="J21" s="180"/>
      <c r="K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</row>
    <row r="22" spans="3:24">
      <c r="C22" s="180"/>
      <c r="D22" s="180"/>
      <c r="E22" s="180"/>
      <c r="F22" s="180"/>
      <c r="G22" s="180"/>
      <c r="H22" s="180"/>
      <c r="I22" s="180"/>
      <c r="J22" s="180"/>
      <c r="K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</row>
    <row r="23" spans="3:24">
      <c r="C23" s="180"/>
      <c r="D23" s="180"/>
      <c r="E23" s="180"/>
      <c r="F23" s="180"/>
      <c r="G23" s="180"/>
      <c r="H23" s="180"/>
      <c r="I23" s="180"/>
      <c r="J23" s="180"/>
      <c r="K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</row>
    <row r="24" spans="3:24">
      <c r="C24" s="180"/>
      <c r="D24" s="180"/>
      <c r="E24" s="180"/>
      <c r="F24" s="180"/>
      <c r="G24" s="180"/>
      <c r="H24" s="180"/>
      <c r="I24" s="180"/>
      <c r="J24" s="180"/>
      <c r="K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3:24">
      <c r="C25" s="180"/>
      <c r="D25" s="180"/>
      <c r="E25" s="180"/>
      <c r="F25" s="180"/>
      <c r="G25" s="180"/>
      <c r="H25" s="180"/>
      <c r="I25" s="180"/>
      <c r="J25" s="180"/>
      <c r="K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</row>
    <row r="26" spans="3:24">
      <c r="C26" s="180"/>
      <c r="D26" s="180"/>
      <c r="E26" s="180"/>
      <c r="F26" s="180"/>
      <c r="G26" s="180"/>
      <c r="H26" s="180"/>
      <c r="I26" s="180"/>
      <c r="J26" s="180"/>
      <c r="K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3:24">
      <c r="C27" s="180"/>
      <c r="D27" s="180"/>
      <c r="E27" s="180"/>
      <c r="F27" s="180"/>
      <c r="G27" s="180"/>
      <c r="H27" s="180"/>
      <c r="I27" s="180"/>
      <c r="J27" s="180"/>
      <c r="K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</row>
    <row r="28" spans="3:24">
      <c r="C28" s="180"/>
      <c r="D28" s="180"/>
      <c r="E28" s="180"/>
      <c r="F28" s="180"/>
      <c r="G28" s="180"/>
      <c r="H28" s="180"/>
      <c r="I28" s="180"/>
      <c r="J28" s="180"/>
      <c r="K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</row>
    <row r="29" spans="3:24">
      <c r="C29" s="180"/>
      <c r="D29" s="180"/>
      <c r="E29" s="180"/>
      <c r="F29" s="180"/>
      <c r="G29" s="180"/>
      <c r="H29" s="180"/>
      <c r="I29" s="180"/>
      <c r="J29" s="180"/>
      <c r="K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</row>
    <row r="30" spans="3:24">
      <c r="C30" s="180"/>
      <c r="D30" s="180"/>
      <c r="E30" s="180"/>
      <c r="F30" s="180"/>
      <c r="G30" s="180"/>
      <c r="H30" s="180"/>
      <c r="I30" s="180"/>
      <c r="J30" s="180"/>
      <c r="K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</row>
    <row r="31" spans="3:24">
      <c r="C31" s="180"/>
      <c r="D31" s="180"/>
      <c r="E31" s="180"/>
      <c r="F31" s="180"/>
      <c r="G31" s="180"/>
      <c r="H31" s="180"/>
      <c r="I31" s="180"/>
      <c r="J31" s="180"/>
      <c r="K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</row>
    <row r="32" spans="3:24">
      <c r="C32" s="180"/>
      <c r="D32" s="180"/>
      <c r="E32" s="180"/>
      <c r="F32" s="180"/>
      <c r="G32" s="180"/>
      <c r="H32" s="180"/>
      <c r="I32" s="180"/>
      <c r="J32" s="180"/>
      <c r="K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</row>
    <row r="33" spans="3:24">
      <c r="C33" s="180"/>
      <c r="D33" s="180"/>
      <c r="E33" s="180"/>
      <c r="F33" s="180"/>
      <c r="G33" s="180"/>
      <c r="H33" s="180"/>
      <c r="I33" s="180"/>
      <c r="J33" s="180"/>
      <c r="K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</row>
    <row r="34" spans="3:24">
      <c r="C34" s="180"/>
      <c r="D34" s="180"/>
      <c r="E34" s="180"/>
      <c r="F34" s="180"/>
      <c r="G34" s="180"/>
      <c r="H34" s="180"/>
      <c r="I34" s="180"/>
      <c r="J34" s="180"/>
      <c r="K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</row>
    <row r="35" spans="3:24">
      <c r="C35" s="180"/>
      <c r="D35" s="180"/>
      <c r="E35" s="180"/>
      <c r="F35" s="180"/>
      <c r="G35" s="180"/>
      <c r="H35" s="180"/>
      <c r="I35" s="180"/>
      <c r="J35" s="180"/>
      <c r="K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</row>
    <row r="36" spans="3:24">
      <c r="C36" s="180"/>
      <c r="D36" s="180"/>
      <c r="E36" s="180"/>
      <c r="F36" s="180"/>
      <c r="G36" s="180"/>
      <c r="H36" s="180"/>
      <c r="I36" s="180"/>
      <c r="J36" s="180"/>
      <c r="K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</row>
    <row r="37" spans="3:24">
      <c r="C37" s="180"/>
      <c r="D37" s="180"/>
      <c r="E37" s="180"/>
      <c r="F37" s="180"/>
      <c r="G37" s="180"/>
      <c r="H37" s="180"/>
      <c r="I37" s="180"/>
      <c r="J37" s="180"/>
      <c r="K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</row>
    <row r="38" spans="3:24">
      <c r="C38" s="180"/>
      <c r="D38" s="180"/>
      <c r="E38" s="180"/>
      <c r="F38" s="180"/>
      <c r="G38" s="180"/>
      <c r="H38" s="180"/>
      <c r="I38" s="180"/>
      <c r="J38" s="180"/>
      <c r="K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</row>
    <row r="39" spans="3:24"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44"/>
  <sheetViews>
    <sheetView zoomScale="70" zoomScaleNormal="70" workbookViewId="0">
      <selection activeCell="D46" sqref="D46"/>
    </sheetView>
  </sheetViews>
  <sheetFormatPr defaultColWidth="8.88671875" defaultRowHeight="15"/>
  <cols>
    <col min="1" max="1" width="8.88671875" style="338"/>
    <col min="2" max="2" width="0.6640625" style="341" customWidth="1"/>
    <col min="3" max="3" width="8.33203125" style="338" bestFit="1" customWidth="1"/>
    <col min="4" max="8" width="8.88671875" style="338"/>
    <col min="9" max="9" width="0.6640625" style="338" customWidth="1"/>
    <col min="10" max="12" width="7" style="338" customWidth="1"/>
    <col min="13" max="15" width="8.88671875" style="338"/>
    <col min="16" max="16" width="0.6640625" style="338" customWidth="1"/>
    <col min="17" max="17" width="8.6640625" style="338" bestFit="1" customWidth="1"/>
    <col min="18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226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 t="s">
        <v>300</v>
      </c>
      <c r="M1" s="335"/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J2" s="341"/>
      <c r="K2" s="341"/>
      <c r="L2" s="341"/>
      <c r="P2" s="340"/>
      <c r="S2" s="342"/>
      <c r="T2" s="343"/>
    </row>
    <row r="3" spans="1:20">
      <c r="A3" s="339"/>
      <c r="B3" s="340"/>
      <c r="C3" s="344" t="s">
        <v>302</v>
      </c>
      <c r="D3" s="344" t="s">
        <v>303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6" t="s">
        <v>307</v>
      </c>
      <c r="K3" s="346" t="s">
        <v>308</v>
      </c>
      <c r="L3" s="346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J4" s="341"/>
      <c r="K4" s="341"/>
      <c r="L4" s="341"/>
      <c r="P4" s="340"/>
      <c r="S4" s="340"/>
      <c r="T4" s="343"/>
    </row>
    <row r="5" spans="1:20">
      <c r="A5" s="339">
        <v>1</v>
      </c>
      <c r="B5" s="340"/>
      <c r="H5" s="340"/>
      <c r="I5" s="340"/>
      <c r="J5" s="341"/>
      <c r="K5" s="341"/>
      <c r="L5" s="341"/>
      <c r="P5" s="340"/>
      <c r="S5" s="340"/>
      <c r="T5" s="343"/>
    </row>
    <row r="6" spans="1:20">
      <c r="A6" s="339">
        <v>2</v>
      </c>
      <c r="B6" s="340"/>
      <c r="C6" s="338">
        <v>10</v>
      </c>
      <c r="D6" s="338">
        <v>11</v>
      </c>
      <c r="F6" s="338">
        <v>11</v>
      </c>
      <c r="H6" s="340"/>
      <c r="I6" s="340"/>
      <c r="J6" s="341"/>
      <c r="K6" s="341"/>
      <c r="L6" s="341"/>
      <c r="M6" s="338">
        <v>0.5</v>
      </c>
      <c r="P6" s="340"/>
      <c r="Q6" s="338">
        <v>5.5</v>
      </c>
      <c r="S6" s="340"/>
      <c r="T6" s="343"/>
    </row>
    <row r="7" spans="1:20">
      <c r="A7" s="339">
        <v>3</v>
      </c>
      <c r="B7" s="340"/>
      <c r="H7" s="340"/>
      <c r="I7" s="340"/>
      <c r="J7" s="341"/>
      <c r="K7" s="341"/>
      <c r="L7" s="341"/>
      <c r="M7" s="338">
        <v>0.5</v>
      </c>
      <c r="P7" s="340"/>
      <c r="Q7" s="338">
        <v>6</v>
      </c>
      <c r="S7" s="340"/>
      <c r="T7" s="343"/>
    </row>
    <row r="8" spans="1:20">
      <c r="A8" s="339">
        <v>4</v>
      </c>
      <c r="B8" s="340"/>
      <c r="G8" s="338">
        <v>1.75</v>
      </c>
      <c r="H8" s="340"/>
      <c r="I8" s="340"/>
      <c r="J8" s="341"/>
      <c r="K8" s="341"/>
      <c r="L8" s="341"/>
      <c r="M8" s="338">
        <v>0.5</v>
      </c>
      <c r="P8" s="340"/>
      <c r="Q8" s="338">
        <v>6.5</v>
      </c>
      <c r="S8" s="340"/>
      <c r="T8" s="343"/>
    </row>
    <row r="9" spans="1:20">
      <c r="A9" s="339">
        <v>5</v>
      </c>
      <c r="B9" s="340"/>
      <c r="C9" s="338">
        <v>6.25</v>
      </c>
      <c r="H9" s="340"/>
      <c r="I9" s="340"/>
      <c r="J9" s="341"/>
      <c r="K9" s="341"/>
      <c r="L9" s="341"/>
      <c r="M9" s="338">
        <v>0.5</v>
      </c>
      <c r="N9" s="338">
        <v>3.75</v>
      </c>
      <c r="P9" s="340"/>
      <c r="Q9" s="338">
        <v>7.25</v>
      </c>
      <c r="S9" s="340"/>
      <c r="T9" s="343"/>
    </row>
    <row r="10" spans="1:20">
      <c r="A10" s="339">
        <v>6</v>
      </c>
      <c r="B10" s="340"/>
      <c r="H10" s="340"/>
      <c r="I10" s="340"/>
      <c r="J10" s="341"/>
      <c r="K10" s="341"/>
      <c r="L10" s="341"/>
      <c r="P10" s="340"/>
      <c r="Q10" s="338">
        <v>0.5</v>
      </c>
      <c r="S10" s="340"/>
      <c r="T10" s="343"/>
    </row>
    <row r="11" spans="1:20">
      <c r="A11" s="339">
        <v>7</v>
      </c>
      <c r="B11" s="340"/>
      <c r="G11" s="338">
        <v>1.25</v>
      </c>
      <c r="H11" s="340"/>
      <c r="I11" s="340"/>
      <c r="J11" s="341"/>
      <c r="K11" s="341"/>
      <c r="L11" s="341"/>
      <c r="P11" s="340"/>
      <c r="S11" s="340"/>
      <c r="T11" s="343"/>
    </row>
    <row r="12" spans="1:20">
      <c r="A12" s="339">
        <v>8</v>
      </c>
      <c r="B12" s="340"/>
      <c r="G12" s="338">
        <v>2</v>
      </c>
      <c r="H12" s="340"/>
      <c r="I12" s="340"/>
      <c r="J12" s="341"/>
      <c r="K12" s="341"/>
      <c r="L12" s="341"/>
      <c r="M12" s="338">
        <v>1.5</v>
      </c>
      <c r="N12" s="338">
        <v>4.75</v>
      </c>
      <c r="P12" s="340"/>
      <c r="Q12" s="338">
        <v>6.75</v>
      </c>
      <c r="S12" s="340"/>
      <c r="T12" s="343"/>
    </row>
    <row r="13" spans="1:20">
      <c r="A13" s="339">
        <v>9</v>
      </c>
      <c r="B13" s="340"/>
      <c r="C13" s="338">
        <v>7.5</v>
      </c>
      <c r="H13" s="340"/>
      <c r="I13" s="340"/>
      <c r="J13" s="341"/>
      <c r="K13" s="341"/>
      <c r="L13" s="341"/>
      <c r="P13" s="340"/>
      <c r="S13" s="340"/>
      <c r="T13" s="343"/>
    </row>
    <row r="14" spans="1:20">
      <c r="A14" s="339">
        <v>10</v>
      </c>
      <c r="B14" s="340"/>
      <c r="H14" s="340"/>
      <c r="I14" s="340"/>
      <c r="J14" s="341"/>
      <c r="K14" s="341"/>
      <c r="L14" s="341"/>
      <c r="P14" s="340"/>
      <c r="S14" s="340"/>
      <c r="T14" s="343"/>
    </row>
    <row r="15" spans="1:20">
      <c r="A15" s="339">
        <v>11</v>
      </c>
      <c r="B15" s="340"/>
      <c r="C15" s="338">
        <v>5</v>
      </c>
      <c r="H15" s="340"/>
      <c r="I15" s="340"/>
      <c r="J15" s="341">
        <v>7.5</v>
      </c>
      <c r="K15" s="341"/>
      <c r="L15" s="341"/>
      <c r="P15" s="340"/>
      <c r="Q15" s="338">
        <v>0.5</v>
      </c>
      <c r="S15" s="340"/>
      <c r="T15" s="343"/>
    </row>
    <row r="16" spans="1:20">
      <c r="A16" s="339">
        <v>12</v>
      </c>
      <c r="B16" s="340"/>
      <c r="H16" s="340"/>
      <c r="I16" s="340"/>
      <c r="J16" s="341"/>
      <c r="K16" s="341"/>
      <c r="L16" s="341"/>
      <c r="M16" s="338">
        <v>0.5</v>
      </c>
      <c r="N16" s="338">
        <v>4.5</v>
      </c>
      <c r="P16" s="340"/>
      <c r="Q16" s="338">
        <v>7.25</v>
      </c>
      <c r="S16" s="340"/>
      <c r="T16" s="343"/>
    </row>
    <row r="17" spans="1:20">
      <c r="A17" s="339">
        <v>13</v>
      </c>
      <c r="B17" s="340"/>
      <c r="H17" s="340"/>
      <c r="I17" s="340"/>
      <c r="J17" s="341"/>
      <c r="K17" s="341"/>
      <c r="L17" s="341"/>
      <c r="P17" s="340"/>
      <c r="Q17" s="338">
        <v>0.75</v>
      </c>
      <c r="S17" s="340"/>
      <c r="T17" s="343"/>
    </row>
    <row r="18" spans="1:20">
      <c r="A18" s="339">
        <v>14</v>
      </c>
      <c r="B18" s="340"/>
      <c r="H18" s="340"/>
      <c r="I18" s="340"/>
      <c r="J18" s="341"/>
      <c r="K18" s="341"/>
      <c r="L18" s="341"/>
      <c r="P18" s="340"/>
      <c r="S18" s="340"/>
      <c r="T18" s="343"/>
    </row>
    <row r="19" spans="1:20">
      <c r="A19" s="339">
        <v>15</v>
      </c>
      <c r="B19" s="340"/>
      <c r="H19" s="340"/>
      <c r="I19" s="340"/>
      <c r="J19" s="341"/>
      <c r="K19" s="341">
        <v>2</v>
      </c>
      <c r="L19" s="341"/>
      <c r="M19" s="338">
        <v>0.5</v>
      </c>
      <c r="N19" s="338">
        <v>4.5</v>
      </c>
      <c r="P19" s="340"/>
      <c r="Q19" s="338">
        <v>6.75</v>
      </c>
      <c r="S19" s="340"/>
      <c r="T19" s="343"/>
    </row>
    <row r="20" spans="1:20">
      <c r="A20" s="339">
        <v>16</v>
      </c>
      <c r="B20" s="340"/>
      <c r="C20" s="338">
        <v>8.75</v>
      </c>
      <c r="D20" s="338">
        <v>9.5</v>
      </c>
      <c r="F20" s="338">
        <v>9.5</v>
      </c>
      <c r="H20" s="340"/>
      <c r="I20" s="340"/>
      <c r="J20" s="341"/>
      <c r="K20" s="341"/>
      <c r="L20" s="341"/>
      <c r="P20" s="340"/>
      <c r="S20" s="340"/>
      <c r="T20" s="343"/>
    </row>
    <row r="21" spans="1:20">
      <c r="A21" s="339">
        <v>17</v>
      </c>
      <c r="B21" s="340"/>
      <c r="H21" s="340"/>
      <c r="I21" s="340"/>
      <c r="J21" s="341"/>
      <c r="K21" s="341"/>
      <c r="L21" s="341"/>
      <c r="M21" s="338">
        <v>2</v>
      </c>
      <c r="P21" s="340"/>
      <c r="Q21" s="338">
        <v>5.5</v>
      </c>
      <c r="S21" s="340"/>
      <c r="T21" s="343"/>
    </row>
    <row r="22" spans="1:20">
      <c r="A22" s="339">
        <v>18</v>
      </c>
      <c r="B22" s="340"/>
      <c r="H22" s="340"/>
      <c r="I22" s="340"/>
      <c r="J22" s="341"/>
      <c r="K22" s="341">
        <v>2</v>
      </c>
      <c r="L22" s="341"/>
      <c r="P22" s="340"/>
      <c r="S22" s="340"/>
      <c r="T22" s="343"/>
    </row>
    <row r="23" spans="1:20">
      <c r="A23" s="339">
        <v>19</v>
      </c>
      <c r="B23" s="340"/>
      <c r="C23" s="338">
        <v>5.5</v>
      </c>
      <c r="H23" s="340"/>
      <c r="I23" s="340"/>
      <c r="J23" s="341"/>
      <c r="K23" s="341"/>
      <c r="L23" s="341"/>
      <c r="M23" s="338">
        <v>0.5</v>
      </c>
      <c r="N23" s="338">
        <v>4.5</v>
      </c>
      <c r="P23" s="340"/>
      <c r="Q23" s="338">
        <v>7.25</v>
      </c>
      <c r="S23" s="340"/>
      <c r="T23" s="343"/>
    </row>
    <row r="24" spans="1:20">
      <c r="A24" s="339">
        <v>20</v>
      </c>
      <c r="B24" s="340"/>
      <c r="H24" s="340"/>
      <c r="I24" s="340"/>
      <c r="J24" s="341"/>
      <c r="K24" s="341"/>
      <c r="L24" s="341"/>
      <c r="P24" s="340"/>
      <c r="Q24" s="338">
        <v>0.5</v>
      </c>
      <c r="S24" s="340"/>
      <c r="T24" s="343"/>
    </row>
    <row r="25" spans="1:20">
      <c r="A25" s="339">
        <v>21</v>
      </c>
      <c r="B25" s="340"/>
      <c r="H25" s="340"/>
      <c r="I25" s="340"/>
      <c r="J25" s="341"/>
      <c r="K25" s="341"/>
      <c r="L25" s="341"/>
      <c r="P25" s="340"/>
      <c r="S25" s="340"/>
      <c r="T25" s="343"/>
    </row>
    <row r="26" spans="1:20">
      <c r="A26" s="339">
        <v>22</v>
      </c>
      <c r="B26" s="340"/>
      <c r="H26" s="340"/>
      <c r="I26" s="340"/>
      <c r="J26" s="341"/>
      <c r="K26" s="341"/>
      <c r="L26" s="341"/>
      <c r="M26" s="338">
        <v>1.5</v>
      </c>
      <c r="N26" s="338">
        <v>4.25</v>
      </c>
      <c r="P26" s="340"/>
      <c r="Q26" s="338">
        <v>7.25</v>
      </c>
      <c r="S26" s="340"/>
      <c r="T26" s="343"/>
    </row>
    <row r="27" spans="1:20">
      <c r="A27" s="339">
        <v>23</v>
      </c>
      <c r="B27" s="340"/>
      <c r="H27" s="340"/>
      <c r="I27" s="340"/>
      <c r="J27" s="341"/>
      <c r="K27" s="341"/>
      <c r="L27" s="341"/>
      <c r="P27" s="340"/>
      <c r="Q27" s="338">
        <v>0.75</v>
      </c>
      <c r="S27" s="340"/>
      <c r="T27" s="343"/>
    </row>
    <row r="28" spans="1:20">
      <c r="A28" s="339">
        <v>24</v>
      </c>
      <c r="B28" s="340"/>
      <c r="C28" s="338">
        <v>7</v>
      </c>
      <c r="H28" s="340"/>
      <c r="I28" s="340"/>
      <c r="J28" s="341"/>
      <c r="K28" s="341"/>
      <c r="L28" s="341"/>
      <c r="P28" s="340"/>
      <c r="S28" s="340"/>
      <c r="T28" s="343"/>
    </row>
    <row r="29" spans="1:20">
      <c r="A29" s="339">
        <v>25</v>
      </c>
      <c r="B29" s="340"/>
      <c r="G29" s="338">
        <v>1.5</v>
      </c>
      <c r="H29" s="340"/>
      <c r="I29" s="340"/>
      <c r="J29" s="341">
        <v>5.5</v>
      </c>
      <c r="K29" s="341"/>
      <c r="L29" s="341"/>
      <c r="P29" s="340"/>
      <c r="Q29" s="338">
        <v>5.25</v>
      </c>
      <c r="S29" s="340"/>
      <c r="T29" s="343"/>
    </row>
    <row r="30" spans="1:20">
      <c r="A30" s="339">
        <v>26</v>
      </c>
      <c r="B30" s="340"/>
      <c r="C30" s="338">
        <v>4.25</v>
      </c>
      <c r="H30" s="340"/>
      <c r="I30" s="340"/>
      <c r="J30" s="341">
        <v>7.5</v>
      </c>
      <c r="K30" s="341"/>
      <c r="L30" s="341"/>
      <c r="M30" s="338">
        <v>0.5</v>
      </c>
      <c r="N30" s="338">
        <v>4.5</v>
      </c>
      <c r="P30" s="340"/>
      <c r="Q30" s="338">
        <v>6.5</v>
      </c>
      <c r="S30" s="340"/>
      <c r="T30" s="343"/>
    </row>
    <row r="31" spans="1:20">
      <c r="A31" s="339">
        <v>27</v>
      </c>
      <c r="B31" s="340"/>
      <c r="H31" s="340"/>
      <c r="I31" s="340"/>
      <c r="J31" s="341"/>
      <c r="K31" s="341"/>
      <c r="L31" s="341"/>
      <c r="M31" s="338">
        <v>2</v>
      </c>
      <c r="P31" s="340"/>
      <c r="Q31" s="338">
        <v>0.5</v>
      </c>
      <c r="S31" s="340"/>
      <c r="T31" s="343"/>
    </row>
    <row r="32" spans="1:20">
      <c r="A32" s="339">
        <v>28</v>
      </c>
      <c r="B32" s="340"/>
      <c r="H32" s="340"/>
      <c r="I32" s="340"/>
      <c r="J32" s="341"/>
      <c r="K32" s="341"/>
      <c r="L32" s="341"/>
      <c r="P32" s="340"/>
      <c r="S32" s="340"/>
      <c r="T32" s="343"/>
    </row>
    <row r="33" spans="1:20">
      <c r="A33" s="339">
        <v>29</v>
      </c>
      <c r="B33" s="340"/>
      <c r="H33" s="340"/>
      <c r="I33" s="340"/>
      <c r="J33" s="341"/>
      <c r="K33" s="341">
        <v>2</v>
      </c>
      <c r="L33" s="341"/>
      <c r="M33" s="338">
        <v>0.5</v>
      </c>
      <c r="N33" s="338">
        <v>4</v>
      </c>
      <c r="P33" s="340"/>
      <c r="Q33" s="338">
        <v>7.25</v>
      </c>
      <c r="S33" s="340"/>
      <c r="T33" s="343"/>
    </row>
    <row r="34" spans="1:20">
      <c r="A34" s="339">
        <v>30</v>
      </c>
      <c r="B34" s="340"/>
      <c r="C34" s="338">
        <v>9.25</v>
      </c>
      <c r="D34" s="338">
        <v>9.75</v>
      </c>
      <c r="F34" s="338">
        <v>9.75</v>
      </c>
      <c r="H34" s="340"/>
      <c r="I34" s="340"/>
      <c r="J34" s="341"/>
      <c r="K34" s="341"/>
      <c r="L34" s="341"/>
      <c r="P34" s="340"/>
      <c r="S34" s="340"/>
      <c r="T34" s="343"/>
    </row>
    <row r="35" spans="1:20">
      <c r="A35" s="339">
        <v>31</v>
      </c>
      <c r="B35" s="340"/>
      <c r="H35" s="340"/>
      <c r="I35" s="340"/>
      <c r="J35" s="341"/>
      <c r="K35" s="341"/>
      <c r="L35" s="341"/>
      <c r="M35" s="338">
        <v>2</v>
      </c>
      <c r="P35" s="340"/>
      <c r="Q35" s="338">
        <v>6.5</v>
      </c>
      <c r="S35" s="340"/>
      <c r="T35" s="343"/>
    </row>
    <row r="36" spans="1:20" ht="15.75" thickBot="1">
      <c r="A36" s="348"/>
      <c r="B36" s="349"/>
      <c r="C36" s="350">
        <f>SUM(C5:C35)</f>
        <v>63.5</v>
      </c>
      <c r="D36" s="351">
        <f>SUM(D5:D35)</f>
        <v>30.25</v>
      </c>
      <c r="E36" s="350"/>
      <c r="F36" s="351">
        <f>SUM(F5:F35)</f>
        <v>30.25</v>
      </c>
      <c r="G36" s="352">
        <f>SUM(G5:G35)</f>
        <v>6.5</v>
      </c>
      <c r="H36" s="349"/>
      <c r="I36" s="349"/>
      <c r="J36" s="353">
        <f>SUM(J5:J35)</f>
        <v>20.5</v>
      </c>
      <c r="K36" s="353">
        <f>SUM(K5:K35)</f>
        <v>6</v>
      </c>
      <c r="L36" s="348"/>
      <c r="M36" s="354">
        <f>SUM(M6:M35)</f>
        <v>13.5</v>
      </c>
      <c r="N36" s="354">
        <f>SUM(N5:N35)</f>
        <v>34.75</v>
      </c>
      <c r="O36" s="348"/>
      <c r="P36" s="349"/>
      <c r="Q36" s="348">
        <f>SUM(Q5:Q35)</f>
        <v>95</v>
      </c>
      <c r="R36" s="348"/>
      <c r="S36" s="349"/>
      <c r="T36" s="355"/>
    </row>
    <row r="37" spans="1:20" ht="15.75" thickTop="1">
      <c r="C37" s="356">
        <v>20</v>
      </c>
      <c r="D37" s="356">
        <v>22.5</v>
      </c>
      <c r="E37" s="356">
        <v>20</v>
      </c>
      <c r="F37" s="356">
        <v>20</v>
      </c>
      <c r="G37" s="356">
        <v>20</v>
      </c>
      <c r="H37" s="356"/>
      <c r="I37" s="356"/>
      <c r="J37" s="356">
        <v>22.5</v>
      </c>
      <c r="K37" s="356">
        <v>22.5</v>
      </c>
      <c r="L37" s="356">
        <v>20</v>
      </c>
      <c r="M37" s="356">
        <v>25</v>
      </c>
      <c r="N37" s="356">
        <v>17</v>
      </c>
      <c r="Q37" s="356">
        <v>25</v>
      </c>
    </row>
    <row r="38" spans="1:20">
      <c r="C38" s="356">
        <f>SUM(C36*C37)</f>
        <v>1270</v>
      </c>
      <c r="D38" s="356">
        <f t="shared" ref="D38:G38" si="0">SUM(D36*D37)</f>
        <v>680.625</v>
      </c>
      <c r="E38" s="356">
        <f t="shared" si="0"/>
        <v>0</v>
      </c>
      <c r="F38" s="356">
        <f t="shared" si="0"/>
        <v>605</v>
      </c>
      <c r="G38" s="356">
        <f t="shared" si="0"/>
        <v>130</v>
      </c>
      <c r="J38" s="356">
        <f t="shared" ref="J38:N38" si="1">SUM(J36*J37)</f>
        <v>461.25</v>
      </c>
      <c r="K38" s="356">
        <f t="shared" si="1"/>
        <v>135</v>
      </c>
      <c r="L38" s="356">
        <f t="shared" si="1"/>
        <v>0</v>
      </c>
      <c r="M38" s="356">
        <f t="shared" si="1"/>
        <v>337.5</v>
      </c>
      <c r="N38" s="356">
        <f t="shared" si="1"/>
        <v>590.75</v>
      </c>
      <c r="Q38" s="356">
        <f t="shared" ref="Q38" si="2">SUM(Q36*Q37)</f>
        <v>2375</v>
      </c>
    </row>
    <row r="44" spans="1:20">
      <c r="C44" s="338" t="s">
        <v>333</v>
      </c>
    </row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41"/>
  <sheetViews>
    <sheetView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227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302</v>
      </c>
      <c r="D3" s="344" t="s">
        <v>303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G5" s="338">
        <v>1.25</v>
      </c>
      <c r="H5" s="340"/>
      <c r="I5" s="340"/>
      <c r="P5" s="340"/>
      <c r="S5" s="340"/>
      <c r="T5" s="343"/>
    </row>
    <row r="6" spans="1:20">
      <c r="A6" s="339">
        <v>2</v>
      </c>
      <c r="B6" s="340"/>
      <c r="C6" s="338">
        <v>5.5</v>
      </c>
      <c r="E6" s="338">
        <v>5.5</v>
      </c>
      <c r="H6" s="340"/>
      <c r="I6" s="340"/>
      <c r="N6" s="338">
        <v>4.5</v>
      </c>
      <c r="P6" s="340"/>
      <c r="Q6" s="338">
        <v>5.5</v>
      </c>
      <c r="S6" s="340"/>
      <c r="T6" s="343"/>
    </row>
    <row r="7" spans="1:20">
      <c r="A7" s="339">
        <v>3</v>
      </c>
      <c r="B7" s="340"/>
      <c r="H7" s="340"/>
      <c r="I7" s="340"/>
      <c r="M7" s="338">
        <v>0.5</v>
      </c>
      <c r="P7" s="340"/>
      <c r="S7" s="340"/>
      <c r="T7" s="343"/>
    </row>
    <row r="8" spans="1:20">
      <c r="A8" s="339">
        <v>4</v>
      </c>
      <c r="B8" s="340"/>
      <c r="H8" s="340"/>
      <c r="I8" s="340"/>
      <c r="P8" s="340"/>
      <c r="S8" s="340"/>
      <c r="T8" s="343"/>
    </row>
    <row r="9" spans="1:20">
      <c r="A9" s="339">
        <v>5</v>
      </c>
      <c r="B9" s="340"/>
      <c r="H9" s="340"/>
      <c r="I9" s="340"/>
      <c r="L9" s="338">
        <v>5.5</v>
      </c>
      <c r="N9" s="338">
        <v>4.5</v>
      </c>
      <c r="P9" s="340"/>
      <c r="S9" s="340"/>
      <c r="T9" s="343"/>
    </row>
    <row r="10" spans="1:20">
      <c r="A10" s="339">
        <v>6</v>
      </c>
      <c r="B10" s="340"/>
      <c r="C10" s="338">
        <v>6</v>
      </c>
      <c r="E10" s="338">
        <v>6</v>
      </c>
      <c r="G10" s="338">
        <v>2</v>
      </c>
      <c r="H10" s="340"/>
      <c r="I10" s="340"/>
      <c r="P10" s="340"/>
      <c r="S10" s="340"/>
      <c r="T10" s="343"/>
    </row>
    <row r="11" spans="1:20">
      <c r="A11" s="339">
        <v>7</v>
      </c>
      <c r="B11" s="340"/>
      <c r="H11" s="340"/>
      <c r="I11" s="340"/>
      <c r="P11" s="340"/>
      <c r="S11" s="340"/>
      <c r="T11" s="343"/>
    </row>
    <row r="12" spans="1:20">
      <c r="A12" s="339">
        <v>8</v>
      </c>
      <c r="B12" s="340"/>
      <c r="H12" s="340"/>
      <c r="I12" s="340"/>
      <c r="P12" s="340"/>
      <c r="S12" s="340"/>
      <c r="T12" s="343"/>
    </row>
    <row r="13" spans="1:20">
      <c r="A13" s="339">
        <v>9</v>
      </c>
      <c r="B13" s="340"/>
      <c r="C13" s="338">
        <v>4.75</v>
      </c>
      <c r="H13" s="340"/>
      <c r="I13" s="340"/>
      <c r="K13" s="338">
        <v>2</v>
      </c>
      <c r="P13" s="340"/>
      <c r="S13" s="340"/>
      <c r="T13" s="343"/>
    </row>
    <row r="14" spans="1:20">
      <c r="A14" s="339">
        <v>10</v>
      </c>
      <c r="B14" s="340"/>
      <c r="H14" s="340"/>
      <c r="I14" s="340"/>
      <c r="P14" s="340"/>
      <c r="S14" s="340"/>
      <c r="T14" s="343"/>
    </row>
    <row r="15" spans="1:20">
      <c r="A15" s="339">
        <v>11</v>
      </c>
      <c r="B15" s="340"/>
      <c r="H15" s="340"/>
      <c r="I15" s="340"/>
      <c r="P15" s="340"/>
      <c r="S15" s="340"/>
      <c r="T15" s="343"/>
    </row>
    <row r="16" spans="1:20">
      <c r="A16" s="339">
        <v>12</v>
      </c>
      <c r="B16" s="340"/>
      <c r="H16" s="340"/>
      <c r="I16" s="340"/>
      <c r="K16" s="338">
        <v>2</v>
      </c>
      <c r="L16" s="338">
        <v>5.5</v>
      </c>
      <c r="M16" s="338">
        <v>0.5</v>
      </c>
      <c r="N16" s="338">
        <v>4.5</v>
      </c>
      <c r="P16" s="340"/>
      <c r="Q16" s="338">
        <v>6.5</v>
      </c>
      <c r="S16" s="340"/>
      <c r="T16" s="343"/>
    </row>
    <row r="17" spans="1:20">
      <c r="A17" s="339">
        <v>13</v>
      </c>
      <c r="B17" s="340"/>
      <c r="C17" s="338">
        <v>10.5</v>
      </c>
      <c r="D17" s="338">
        <v>7.5</v>
      </c>
      <c r="F17" s="338">
        <v>7.5</v>
      </c>
      <c r="H17" s="340"/>
      <c r="I17" s="340"/>
      <c r="P17" s="340"/>
      <c r="S17" s="340"/>
      <c r="T17" s="343"/>
    </row>
    <row r="18" spans="1:20">
      <c r="A18" s="339">
        <v>14</v>
      </c>
      <c r="B18" s="340"/>
      <c r="H18" s="340"/>
      <c r="I18" s="340"/>
      <c r="P18" s="340"/>
      <c r="S18" s="340"/>
      <c r="T18" s="343"/>
    </row>
    <row r="19" spans="1:20">
      <c r="A19" s="339">
        <v>15</v>
      </c>
      <c r="B19" s="340"/>
      <c r="H19" s="340"/>
      <c r="I19" s="340"/>
      <c r="J19" s="338">
        <v>8.25</v>
      </c>
      <c r="P19" s="340"/>
      <c r="S19" s="340"/>
      <c r="T19" s="343"/>
    </row>
    <row r="20" spans="1:20">
      <c r="A20" s="339">
        <v>16</v>
      </c>
      <c r="B20" s="340"/>
      <c r="C20" s="338">
        <v>3</v>
      </c>
      <c r="H20" s="340"/>
      <c r="I20" s="340"/>
      <c r="L20" s="338">
        <v>5.5</v>
      </c>
      <c r="M20" s="338">
        <v>0.5</v>
      </c>
      <c r="N20" s="338">
        <v>4.5</v>
      </c>
      <c r="P20" s="340"/>
      <c r="Q20" s="338">
        <v>7</v>
      </c>
      <c r="S20" s="340"/>
      <c r="T20" s="343"/>
    </row>
    <row r="21" spans="1:20">
      <c r="A21" s="339">
        <v>17</v>
      </c>
      <c r="B21" s="340"/>
      <c r="H21" s="340"/>
      <c r="I21" s="340"/>
      <c r="P21" s="340"/>
      <c r="Q21" s="338">
        <v>0.75</v>
      </c>
      <c r="S21" s="340"/>
      <c r="T21" s="343"/>
    </row>
    <row r="22" spans="1:20">
      <c r="A22" s="339">
        <v>18</v>
      </c>
      <c r="B22" s="340"/>
      <c r="H22" s="340"/>
      <c r="I22" s="340"/>
      <c r="P22" s="340"/>
      <c r="S22" s="340"/>
      <c r="T22" s="343"/>
    </row>
    <row r="23" spans="1:20">
      <c r="A23" s="339">
        <v>19</v>
      </c>
      <c r="B23" s="340"/>
      <c r="H23" s="340"/>
      <c r="I23" s="340"/>
      <c r="L23" s="338">
        <v>5.5</v>
      </c>
      <c r="M23" s="338">
        <v>0.5</v>
      </c>
      <c r="N23" s="338">
        <v>4.5</v>
      </c>
      <c r="P23" s="340"/>
      <c r="Q23" s="338">
        <v>6.75</v>
      </c>
      <c r="S23" s="340"/>
      <c r="T23" s="343"/>
    </row>
    <row r="24" spans="1:20">
      <c r="A24" s="339">
        <v>20</v>
      </c>
      <c r="B24" s="340"/>
      <c r="C24" s="338">
        <v>6.75</v>
      </c>
      <c r="E24" s="338">
        <v>6.75</v>
      </c>
      <c r="H24" s="340"/>
      <c r="I24" s="340"/>
      <c r="P24" s="340"/>
      <c r="S24" s="340"/>
      <c r="T24" s="343"/>
    </row>
    <row r="25" spans="1:20">
      <c r="A25" s="339">
        <v>21</v>
      </c>
      <c r="B25" s="340"/>
      <c r="H25" s="340"/>
      <c r="I25" s="340"/>
      <c r="M25" s="338">
        <v>0.5</v>
      </c>
      <c r="P25" s="340"/>
      <c r="Q25" s="338">
        <v>3</v>
      </c>
      <c r="S25" s="340"/>
      <c r="T25" s="343"/>
    </row>
    <row r="26" spans="1:20">
      <c r="A26" s="339">
        <v>22</v>
      </c>
      <c r="B26" s="340"/>
      <c r="G26" s="338">
        <v>2.5</v>
      </c>
      <c r="H26" s="340"/>
      <c r="I26" s="340"/>
      <c r="P26" s="340"/>
      <c r="S26" s="340"/>
      <c r="T26" s="343"/>
    </row>
    <row r="27" spans="1:20">
      <c r="A27" s="339">
        <v>23</v>
      </c>
      <c r="B27" s="340"/>
      <c r="C27" s="338">
        <v>5</v>
      </c>
      <c r="H27" s="340"/>
      <c r="I27" s="340"/>
      <c r="L27" s="338">
        <v>5.5</v>
      </c>
      <c r="M27" s="338">
        <v>1.5</v>
      </c>
      <c r="N27" s="338">
        <v>4.5</v>
      </c>
      <c r="P27" s="340"/>
      <c r="Q27" s="338">
        <v>7</v>
      </c>
      <c r="S27" s="340"/>
      <c r="T27" s="343"/>
    </row>
    <row r="28" spans="1:20">
      <c r="A28" s="339">
        <v>24</v>
      </c>
      <c r="B28" s="340"/>
      <c r="G28" s="338">
        <v>1.25</v>
      </c>
      <c r="H28" s="340"/>
      <c r="I28" s="340"/>
      <c r="P28" s="340"/>
      <c r="Q28" s="338">
        <v>0.5</v>
      </c>
      <c r="S28" s="340"/>
      <c r="T28" s="343"/>
    </row>
    <row r="29" spans="1:20">
      <c r="A29" s="339">
        <v>25</v>
      </c>
      <c r="B29" s="340"/>
      <c r="H29" s="340"/>
      <c r="I29" s="340"/>
      <c r="M29" s="338">
        <v>2</v>
      </c>
      <c r="P29" s="340"/>
      <c r="S29" s="340"/>
      <c r="T29" s="343"/>
    </row>
    <row r="30" spans="1:20">
      <c r="A30" s="339">
        <v>26</v>
      </c>
      <c r="B30" s="340"/>
      <c r="G30" s="338">
        <v>2</v>
      </c>
      <c r="H30" s="340"/>
      <c r="I30" s="340"/>
      <c r="L30" s="338">
        <v>5.25</v>
      </c>
      <c r="M30" s="338">
        <v>0.5</v>
      </c>
      <c r="N30" s="338">
        <v>4.5</v>
      </c>
      <c r="P30" s="340"/>
      <c r="Q30" s="338">
        <v>7.5</v>
      </c>
      <c r="S30" s="340"/>
      <c r="T30" s="343"/>
    </row>
    <row r="31" spans="1:20">
      <c r="A31" s="339">
        <v>27</v>
      </c>
      <c r="B31" s="340"/>
      <c r="C31" s="338">
        <v>6</v>
      </c>
      <c r="D31" s="338">
        <v>8</v>
      </c>
      <c r="E31" s="338">
        <v>5</v>
      </c>
      <c r="F31" s="338">
        <v>8</v>
      </c>
      <c r="H31" s="340"/>
      <c r="I31" s="340"/>
      <c r="P31" s="340"/>
      <c r="Q31" s="338">
        <v>0.5</v>
      </c>
      <c r="S31" s="340"/>
      <c r="T31" s="343"/>
    </row>
    <row r="32" spans="1:20">
      <c r="A32" s="339">
        <v>28</v>
      </c>
      <c r="B32" s="340"/>
      <c r="G32" s="338">
        <v>1.5</v>
      </c>
      <c r="H32" s="340"/>
      <c r="I32" s="340"/>
      <c r="M32" s="338">
        <v>1</v>
      </c>
      <c r="P32" s="340"/>
      <c r="S32" s="340"/>
      <c r="T32" s="343"/>
    </row>
    <row r="33" spans="1:20">
      <c r="A33" s="339">
        <v>29</v>
      </c>
      <c r="B33" s="340"/>
      <c r="H33" s="340"/>
      <c r="I33" s="340"/>
      <c r="P33" s="340"/>
      <c r="S33" s="340"/>
      <c r="T33" s="343"/>
    </row>
    <row r="34" spans="1:20">
      <c r="A34" s="339">
        <v>30</v>
      </c>
      <c r="B34" s="340"/>
      <c r="H34" s="340"/>
      <c r="I34" s="340"/>
      <c r="P34" s="340"/>
      <c r="S34" s="340"/>
      <c r="T34" s="343"/>
    </row>
    <row r="35" spans="1:20">
      <c r="A35" s="339">
        <v>31</v>
      </c>
      <c r="B35" s="340"/>
      <c r="H35" s="340"/>
      <c r="I35" s="340"/>
      <c r="P35" s="340"/>
      <c r="S35" s="340"/>
      <c r="T35" s="343"/>
    </row>
    <row r="36" spans="1:20" ht="15.75" thickBot="1">
      <c r="A36" s="348"/>
      <c r="B36" s="349"/>
      <c r="C36" s="350">
        <f>SUM(C5:C35)</f>
        <v>47.5</v>
      </c>
      <c r="D36" s="351">
        <f>SUM(D5:D35)</f>
        <v>15.5</v>
      </c>
      <c r="E36" s="350">
        <f>SUM(E5:E35)</f>
        <v>23.25</v>
      </c>
      <c r="F36" s="351">
        <f>SUM(F5:F35)</f>
        <v>15.5</v>
      </c>
      <c r="G36" s="352">
        <f>SUM(G5:G35)</f>
        <v>10.5</v>
      </c>
      <c r="H36" s="349"/>
      <c r="I36" s="349"/>
      <c r="J36" s="353">
        <f>SUM(J5:J35)</f>
        <v>8.25</v>
      </c>
      <c r="K36" s="353">
        <f>SUM(K5:K35)</f>
        <v>4</v>
      </c>
      <c r="L36" s="354">
        <f>SUM(L5:L35)</f>
        <v>32.75</v>
      </c>
      <c r="M36" s="354">
        <f>SUM(M5:M35)</f>
        <v>7.5</v>
      </c>
      <c r="N36" s="354">
        <f>SUM(N5:N35)</f>
        <v>31.5</v>
      </c>
      <c r="O36" s="348"/>
      <c r="P36" s="349"/>
      <c r="Q36" s="348">
        <f>SUM(Q5:Q35)</f>
        <v>45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42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312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H5" s="340"/>
      <c r="I5" s="340"/>
      <c r="M5" s="338">
        <v>0.5</v>
      </c>
      <c r="P5" s="340"/>
      <c r="Q5" s="338">
        <v>7</v>
      </c>
      <c r="S5" s="340"/>
      <c r="T5" s="343"/>
    </row>
    <row r="6" spans="1:20">
      <c r="A6" s="339">
        <v>2</v>
      </c>
      <c r="B6" s="340"/>
      <c r="C6" s="338">
        <v>6.25</v>
      </c>
      <c r="H6" s="340"/>
      <c r="I6" s="340"/>
      <c r="L6" s="338">
        <v>5</v>
      </c>
      <c r="M6" s="338">
        <v>0.5</v>
      </c>
      <c r="N6" s="338">
        <v>4.5</v>
      </c>
      <c r="P6" s="340"/>
      <c r="Q6" s="338">
        <v>7</v>
      </c>
      <c r="S6" s="340"/>
      <c r="T6" s="343"/>
    </row>
    <row r="7" spans="1:20">
      <c r="A7" s="339">
        <v>3</v>
      </c>
      <c r="B7" s="340"/>
      <c r="H7" s="340"/>
      <c r="I7" s="340"/>
      <c r="M7" s="338">
        <v>0.5</v>
      </c>
      <c r="P7" s="340"/>
      <c r="Q7" s="338">
        <v>6.75</v>
      </c>
      <c r="S7" s="340"/>
      <c r="T7" s="343"/>
    </row>
    <row r="8" spans="1:20">
      <c r="A8" s="339">
        <v>4</v>
      </c>
      <c r="B8" s="340"/>
      <c r="H8" s="340"/>
      <c r="I8" s="340"/>
      <c r="P8" s="340"/>
      <c r="S8" s="340"/>
      <c r="T8" s="343"/>
    </row>
    <row r="9" spans="1:20">
      <c r="A9" s="339">
        <v>5</v>
      </c>
      <c r="B9" s="340"/>
      <c r="H9" s="340"/>
      <c r="I9" s="340"/>
      <c r="P9" s="340"/>
      <c r="Q9" s="338">
        <v>1</v>
      </c>
      <c r="S9" s="340"/>
      <c r="T9" s="343"/>
    </row>
    <row r="10" spans="1:20">
      <c r="A10" s="339">
        <v>6</v>
      </c>
      <c r="B10" s="340"/>
      <c r="C10" s="338">
        <v>4.5</v>
      </c>
      <c r="E10" s="338">
        <v>3.75</v>
      </c>
      <c r="H10" s="340"/>
      <c r="I10" s="340"/>
      <c r="M10" s="338">
        <v>0.5</v>
      </c>
      <c r="P10" s="340"/>
      <c r="Q10" s="338">
        <v>6</v>
      </c>
      <c r="S10" s="340"/>
      <c r="T10" s="343"/>
    </row>
    <row r="11" spans="1:20">
      <c r="A11" s="339">
        <v>7</v>
      </c>
      <c r="B11" s="340"/>
      <c r="G11" s="338">
        <v>1.75</v>
      </c>
      <c r="H11" s="340"/>
      <c r="I11" s="340"/>
      <c r="K11" s="338">
        <v>3</v>
      </c>
      <c r="M11" s="338">
        <v>1.5</v>
      </c>
      <c r="P11" s="340"/>
      <c r="Q11" s="338">
        <v>3</v>
      </c>
      <c r="S11" s="340"/>
      <c r="T11" s="343"/>
    </row>
    <row r="12" spans="1:20">
      <c r="A12" s="339">
        <v>8</v>
      </c>
      <c r="B12" s="340"/>
      <c r="H12" s="340"/>
      <c r="I12" s="340"/>
      <c r="J12" s="338">
        <v>4.5</v>
      </c>
      <c r="M12" s="338">
        <v>0.5</v>
      </c>
      <c r="P12" s="340"/>
      <c r="Q12" s="338">
        <v>5</v>
      </c>
      <c r="S12" s="340"/>
      <c r="T12" s="343"/>
    </row>
    <row r="13" spans="1:20">
      <c r="A13" s="339">
        <v>9</v>
      </c>
      <c r="B13" s="340"/>
      <c r="C13" s="338">
        <v>6.75</v>
      </c>
      <c r="G13" s="338">
        <v>4.5</v>
      </c>
      <c r="H13" s="340"/>
      <c r="I13" s="340"/>
      <c r="L13" s="338">
        <v>5.25</v>
      </c>
      <c r="M13" s="338">
        <v>0.5</v>
      </c>
      <c r="N13" s="338">
        <v>4.5</v>
      </c>
      <c r="P13" s="340"/>
      <c r="Q13" s="338">
        <v>6.75</v>
      </c>
      <c r="S13" s="340"/>
      <c r="T13" s="343"/>
    </row>
    <row r="14" spans="1:20">
      <c r="A14" s="339">
        <v>10</v>
      </c>
      <c r="B14" s="340"/>
      <c r="G14" s="338">
        <v>1.75</v>
      </c>
      <c r="H14" s="340"/>
      <c r="I14" s="340"/>
      <c r="P14" s="340"/>
      <c r="Q14" s="338">
        <v>0.5</v>
      </c>
      <c r="S14" s="340"/>
      <c r="T14" s="343"/>
    </row>
    <row r="15" spans="1:20">
      <c r="A15" s="339">
        <v>11</v>
      </c>
      <c r="B15" s="340"/>
      <c r="H15" s="340"/>
      <c r="I15" s="340"/>
      <c r="P15" s="340"/>
      <c r="S15" s="340"/>
      <c r="T15" s="343"/>
    </row>
    <row r="16" spans="1:20">
      <c r="A16" s="339">
        <v>12</v>
      </c>
      <c r="B16" s="340"/>
      <c r="H16" s="340"/>
      <c r="I16" s="340"/>
      <c r="L16" s="338">
        <v>4.75</v>
      </c>
      <c r="M16" s="338">
        <v>0.05</v>
      </c>
      <c r="N16" s="338">
        <v>4.5</v>
      </c>
      <c r="P16" s="340"/>
      <c r="Q16" s="338">
        <v>6.75</v>
      </c>
      <c r="S16" s="340"/>
      <c r="T16" s="343"/>
    </row>
    <row r="17" spans="1:20">
      <c r="A17" s="339">
        <v>13</v>
      </c>
      <c r="B17" s="340"/>
      <c r="C17" s="338">
        <v>6</v>
      </c>
      <c r="D17" s="338">
        <v>8.5</v>
      </c>
      <c r="E17" s="338">
        <v>4.5</v>
      </c>
      <c r="F17" s="338">
        <v>9</v>
      </c>
      <c r="H17" s="340"/>
      <c r="I17" s="340"/>
      <c r="P17" s="340"/>
      <c r="Q17" s="338">
        <v>0.5</v>
      </c>
      <c r="S17" s="340"/>
      <c r="T17" s="343"/>
    </row>
    <row r="18" spans="1:20">
      <c r="A18" s="339">
        <v>14</v>
      </c>
      <c r="B18" s="340"/>
      <c r="H18" s="340"/>
      <c r="I18" s="340"/>
      <c r="P18" s="340"/>
      <c r="S18" s="340"/>
      <c r="T18" s="343"/>
    </row>
    <row r="19" spans="1:20">
      <c r="A19" s="339">
        <v>15</v>
      </c>
      <c r="B19" s="340"/>
      <c r="H19" s="340"/>
      <c r="I19" s="340"/>
      <c r="J19" s="338">
        <v>6.5</v>
      </c>
      <c r="P19" s="340"/>
      <c r="S19" s="340"/>
      <c r="T19" s="343"/>
    </row>
    <row r="20" spans="1:20">
      <c r="A20" s="339">
        <v>16</v>
      </c>
      <c r="B20" s="340"/>
      <c r="C20" s="338">
        <v>5.5</v>
      </c>
      <c r="H20" s="340"/>
      <c r="I20" s="340"/>
      <c r="J20" s="338">
        <v>8</v>
      </c>
      <c r="L20" s="338">
        <v>5</v>
      </c>
      <c r="M20" s="338">
        <v>0.5</v>
      </c>
      <c r="N20" s="338">
        <v>4.5</v>
      </c>
      <c r="P20" s="340"/>
      <c r="Q20" s="338">
        <v>7.25</v>
      </c>
      <c r="S20" s="340"/>
      <c r="T20" s="343"/>
    </row>
    <row r="21" spans="1:20">
      <c r="A21" s="339">
        <v>17</v>
      </c>
      <c r="B21" s="340"/>
      <c r="H21" s="340"/>
      <c r="I21" s="340"/>
      <c r="P21" s="340"/>
      <c r="Q21" s="338">
        <v>0.5</v>
      </c>
      <c r="S21" s="340"/>
      <c r="T21" s="343"/>
    </row>
    <row r="22" spans="1:20">
      <c r="A22" s="339">
        <v>18</v>
      </c>
      <c r="B22" s="340"/>
      <c r="H22" s="340"/>
      <c r="I22" s="340"/>
      <c r="P22" s="340"/>
      <c r="S22" s="340"/>
      <c r="T22" s="343"/>
    </row>
    <row r="23" spans="1:20">
      <c r="A23" s="339">
        <v>19</v>
      </c>
      <c r="B23" s="340"/>
      <c r="H23" s="340"/>
      <c r="I23" s="340"/>
      <c r="L23" s="338">
        <v>5.25</v>
      </c>
      <c r="M23" s="338">
        <v>0.5</v>
      </c>
      <c r="N23" s="338">
        <v>4.5</v>
      </c>
      <c r="P23" s="340"/>
      <c r="Q23" s="338">
        <v>7</v>
      </c>
      <c r="S23" s="340"/>
      <c r="T23" s="343"/>
    </row>
    <row r="24" spans="1:20">
      <c r="A24" s="339">
        <v>20</v>
      </c>
      <c r="B24" s="340"/>
      <c r="C24" s="338">
        <v>5.5</v>
      </c>
      <c r="E24" s="338">
        <v>3.5</v>
      </c>
      <c r="H24" s="340"/>
      <c r="I24" s="340"/>
      <c r="M24" s="338">
        <v>0.5</v>
      </c>
      <c r="P24" s="340"/>
      <c r="Q24" s="338">
        <v>5.75</v>
      </c>
      <c r="S24" s="340"/>
      <c r="T24" s="343"/>
    </row>
    <row r="25" spans="1:20">
      <c r="A25" s="339">
        <v>21</v>
      </c>
      <c r="B25" s="340"/>
      <c r="H25" s="340"/>
      <c r="I25" s="340"/>
      <c r="P25" s="340"/>
      <c r="S25" s="340"/>
      <c r="T25" s="343"/>
    </row>
    <row r="26" spans="1:20">
      <c r="A26" s="339">
        <v>22</v>
      </c>
      <c r="B26" s="340"/>
      <c r="H26" s="340"/>
      <c r="I26" s="340"/>
      <c r="M26" s="338">
        <v>0.5</v>
      </c>
      <c r="P26" s="340"/>
      <c r="Q26" s="338">
        <v>6</v>
      </c>
      <c r="S26" s="340"/>
      <c r="T26" s="343"/>
    </row>
    <row r="27" spans="1:20">
      <c r="A27" s="339">
        <v>23</v>
      </c>
      <c r="B27" s="340"/>
      <c r="C27" s="338">
        <v>5.5</v>
      </c>
      <c r="H27" s="340"/>
      <c r="I27" s="340"/>
      <c r="L27" s="338">
        <v>5</v>
      </c>
      <c r="M27" s="338">
        <v>0.5</v>
      </c>
      <c r="N27" s="338">
        <v>4.5</v>
      </c>
      <c r="P27" s="340"/>
      <c r="Q27" s="338">
        <v>7</v>
      </c>
      <c r="S27" s="340"/>
      <c r="T27" s="343"/>
    </row>
    <row r="28" spans="1:20">
      <c r="A28" s="339">
        <v>24</v>
      </c>
      <c r="B28" s="340"/>
      <c r="H28" s="340"/>
      <c r="I28" s="340"/>
      <c r="P28" s="340"/>
      <c r="Q28" s="338">
        <v>0.5</v>
      </c>
      <c r="S28" s="340"/>
      <c r="T28" s="343"/>
    </row>
    <row r="29" spans="1:20">
      <c r="A29" s="339">
        <v>25</v>
      </c>
      <c r="B29" s="340"/>
      <c r="H29" s="340"/>
      <c r="I29" s="340"/>
      <c r="P29" s="340"/>
      <c r="S29" s="340"/>
      <c r="T29" s="343"/>
    </row>
    <row r="30" spans="1:20">
      <c r="A30" s="339">
        <v>26</v>
      </c>
      <c r="B30" s="340"/>
      <c r="H30" s="340"/>
      <c r="I30" s="340"/>
      <c r="L30" s="338">
        <v>5</v>
      </c>
      <c r="M30" s="338">
        <v>0.5</v>
      </c>
      <c r="N30" s="338">
        <v>4.5</v>
      </c>
      <c r="P30" s="340"/>
      <c r="Q30" s="338">
        <v>7</v>
      </c>
      <c r="S30" s="340"/>
      <c r="T30" s="343"/>
    </row>
    <row r="31" spans="1:20">
      <c r="A31" s="339">
        <v>27</v>
      </c>
      <c r="B31" s="340"/>
      <c r="C31" s="338">
        <v>6.5</v>
      </c>
      <c r="D31" s="338">
        <v>7</v>
      </c>
      <c r="E31" s="338">
        <v>4.75</v>
      </c>
      <c r="F31" s="338">
        <v>7</v>
      </c>
      <c r="H31" s="340"/>
      <c r="I31" s="340"/>
      <c r="P31" s="340"/>
      <c r="Q31" s="338">
        <v>0.5</v>
      </c>
      <c r="S31" s="340"/>
      <c r="T31" s="343"/>
    </row>
    <row r="32" spans="1:20">
      <c r="A32" s="339">
        <v>28</v>
      </c>
      <c r="B32" s="340"/>
      <c r="H32" s="340"/>
      <c r="I32" s="340"/>
      <c r="P32" s="340"/>
      <c r="S32" s="340"/>
      <c r="T32" s="343"/>
    </row>
    <row r="33" spans="1:20">
      <c r="A33" s="339">
        <v>29</v>
      </c>
      <c r="B33" s="340"/>
      <c r="H33" s="340"/>
      <c r="I33" s="340"/>
      <c r="P33" s="340"/>
      <c r="S33" s="340"/>
      <c r="T33" s="343"/>
    </row>
    <row r="34" spans="1:20">
      <c r="A34" s="339">
        <v>30</v>
      </c>
      <c r="B34" s="340"/>
      <c r="C34" s="338">
        <v>5.5</v>
      </c>
      <c r="H34" s="340"/>
      <c r="I34" s="340"/>
      <c r="L34" s="338">
        <v>5</v>
      </c>
      <c r="M34" s="338">
        <v>0.5</v>
      </c>
      <c r="N34" s="338">
        <v>5</v>
      </c>
      <c r="P34" s="340"/>
      <c r="Q34" s="338">
        <v>7.75</v>
      </c>
      <c r="S34" s="340"/>
      <c r="T34" s="343"/>
    </row>
    <row r="35" spans="1:20">
      <c r="A35" s="339">
        <v>31</v>
      </c>
      <c r="B35" s="340"/>
      <c r="H35" s="340"/>
      <c r="I35" s="340"/>
      <c r="P35" s="340"/>
      <c r="Q35" s="338">
        <v>0.5</v>
      </c>
      <c r="S35" s="340"/>
      <c r="T35" s="343"/>
    </row>
    <row r="36" spans="1:20" ht="15.75" thickBot="1">
      <c r="A36" s="348"/>
      <c r="B36" s="349"/>
      <c r="C36" s="350">
        <f>SUM(C5:C35)</f>
        <v>52</v>
      </c>
      <c r="D36" s="351">
        <f>SUM(D5:D35)</f>
        <v>15.5</v>
      </c>
      <c r="E36" s="350">
        <f>SUM(E5:E35)</f>
        <v>16.5</v>
      </c>
      <c r="F36" s="351">
        <f>SUM(F5:F35)</f>
        <v>16</v>
      </c>
      <c r="G36" s="352">
        <f>SUM(G5:G35)</f>
        <v>8</v>
      </c>
      <c r="H36" s="349"/>
      <c r="I36" s="349"/>
      <c r="J36" s="353">
        <f>SUM(J5:J35)</f>
        <v>19</v>
      </c>
      <c r="K36" s="353">
        <f>SUM(K5:K35)</f>
        <v>3</v>
      </c>
      <c r="L36" s="354">
        <f>SUM(L5:L35)</f>
        <v>40.25</v>
      </c>
      <c r="M36" s="354">
        <f>SUM(M5:M35)</f>
        <v>8.0500000000000007</v>
      </c>
      <c r="N36" s="354">
        <f>SUM(N5:N35)</f>
        <v>36.5</v>
      </c>
      <c r="O36" s="348"/>
      <c r="P36" s="349"/>
      <c r="Q36" s="348">
        <f>SUM(Q5:Q35)</f>
        <v>100</v>
      </c>
      <c r="R36" s="348"/>
      <c r="S36" s="349"/>
      <c r="T36" s="355"/>
    </row>
    <row r="37" spans="1:20" ht="15.75" thickTop="1"/>
    <row r="42" spans="1:20">
      <c r="C42" s="338" t="s">
        <v>333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41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315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O2" s="342"/>
      <c r="P2" s="340"/>
      <c r="S2" s="342"/>
      <c r="T2" s="343"/>
    </row>
    <row r="3" spans="1:20" ht="15.75" customHeight="1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5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O4" s="340"/>
      <c r="P4" s="340"/>
      <c r="S4" s="340"/>
      <c r="T4" s="343"/>
    </row>
    <row r="5" spans="1:20">
      <c r="A5" s="339">
        <v>1</v>
      </c>
      <c r="B5" s="340"/>
      <c r="H5" s="340"/>
      <c r="I5" s="340"/>
      <c r="O5" s="340"/>
      <c r="P5" s="340"/>
      <c r="S5" s="340"/>
      <c r="T5" s="343"/>
    </row>
    <row r="6" spans="1:20">
      <c r="A6" s="339">
        <v>2</v>
      </c>
      <c r="B6" s="340"/>
      <c r="H6" s="340"/>
      <c r="I6" s="340"/>
      <c r="L6" s="338">
        <v>5.25</v>
      </c>
      <c r="M6" s="338">
        <v>0.5</v>
      </c>
      <c r="N6" s="338">
        <v>4.5</v>
      </c>
      <c r="O6" s="340"/>
      <c r="P6" s="340"/>
      <c r="Q6" s="338">
        <v>7.25</v>
      </c>
      <c r="S6" s="340"/>
      <c r="T6" s="343"/>
    </row>
    <row r="7" spans="1:20">
      <c r="A7" s="339">
        <v>3</v>
      </c>
      <c r="B7" s="340"/>
      <c r="C7" s="338">
        <v>6.5</v>
      </c>
      <c r="E7" s="338">
        <v>5.75</v>
      </c>
      <c r="H7" s="340"/>
      <c r="I7" s="340"/>
      <c r="J7" s="338">
        <v>8.75</v>
      </c>
      <c r="O7" s="340"/>
      <c r="P7" s="340"/>
      <c r="Q7" s="338">
        <v>0.5</v>
      </c>
      <c r="S7" s="340"/>
      <c r="T7" s="343"/>
    </row>
    <row r="8" spans="1:20">
      <c r="A8" s="339">
        <v>4</v>
      </c>
      <c r="B8" s="340"/>
      <c r="G8" s="338">
        <v>1</v>
      </c>
      <c r="H8" s="340"/>
      <c r="I8" s="340"/>
      <c r="J8" s="338">
        <v>5.5</v>
      </c>
      <c r="O8" s="340"/>
      <c r="P8" s="340"/>
      <c r="S8" s="340"/>
      <c r="T8" s="343"/>
    </row>
    <row r="9" spans="1:20">
      <c r="A9" s="339">
        <v>5</v>
      </c>
      <c r="B9" s="340"/>
      <c r="H9" s="340"/>
      <c r="I9" s="340"/>
      <c r="O9" s="340"/>
      <c r="P9" s="340"/>
      <c r="S9" s="340"/>
      <c r="T9" s="343"/>
    </row>
    <row r="10" spans="1:20">
      <c r="A10" s="339">
        <v>6</v>
      </c>
      <c r="B10" s="340"/>
      <c r="C10" s="338">
        <v>4.5</v>
      </c>
      <c r="H10" s="340"/>
      <c r="I10" s="340"/>
      <c r="L10" s="338">
        <v>5</v>
      </c>
      <c r="M10" s="338">
        <v>0.5</v>
      </c>
      <c r="N10" s="338">
        <v>4.25</v>
      </c>
      <c r="O10" s="340"/>
      <c r="P10" s="340"/>
      <c r="Q10" s="338">
        <v>7</v>
      </c>
      <c r="S10" s="340"/>
      <c r="T10" s="343"/>
    </row>
    <row r="11" spans="1:20">
      <c r="A11" s="339">
        <v>7</v>
      </c>
      <c r="B11" s="340"/>
      <c r="H11" s="340"/>
      <c r="I11" s="340"/>
      <c r="O11" s="340"/>
      <c r="P11" s="340"/>
      <c r="Q11" s="338">
        <v>0.5</v>
      </c>
      <c r="S11" s="340"/>
      <c r="T11" s="343"/>
    </row>
    <row r="12" spans="1:20">
      <c r="A12" s="339">
        <v>8</v>
      </c>
      <c r="B12" s="340"/>
      <c r="H12" s="340"/>
      <c r="I12" s="340"/>
      <c r="O12" s="340"/>
      <c r="P12" s="340"/>
      <c r="S12" s="340"/>
      <c r="T12" s="343"/>
    </row>
    <row r="13" spans="1:20">
      <c r="A13" s="339">
        <v>9</v>
      </c>
      <c r="B13" s="340"/>
      <c r="H13" s="340"/>
      <c r="I13" s="340"/>
      <c r="K13" s="338">
        <v>2</v>
      </c>
      <c r="L13" s="338">
        <v>5.25</v>
      </c>
      <c r="M13" s="338">
        <v>0.5</v>
      </c>
      <c r="N13" s="338">
        <v>4.25</v>
      </c>
      <c r="O13" s="340"/>
      <c r="P13" s="340"/>
      <c r="Q13" s="338">
        <v>7</v>
      </c>
      <c r="S13" s="340"/>
      <c r="T13" s="343"/>
    </row>
    <row r="14" spans="1:20">
      <c r="A14" s="339">
        <v>10</v>
      </c>
      <c r="B14" s="340"/>
      <c r="C14" s="338">
        <v>5.75</v>
      </c>
      <c r="D14" s="338">
        <v>9</v>
      </c>
      <c r="E14" s="338">
        <v>5.25</v>
      </c>
      <c r="F14" s="338">
        <v>9</v>
      </c>
      <c r="H14" s="340"/>
      <c r="I14" s="340"/>
      <c r="M14" s="338">
        <v>0.5</v>
      </c>
      <c r="O14" s="340"/>
      <c r="P14" s="340"/>
      <c r="Q14" s="338">
        <v>3.25</v>
      </c>
      <c r="S14" s="340"/>
      <c r="T14" s="343"/>
    </row>
    <row r="15" spans="1:20">
      <c r="A15" s="339">
        <v>11</v>
      </c>
      <c r="B15" s="340"/>
      <c r="H15" s="340"/>
      <c r="I15" s="340"/>
      <c r="K15" s="338">
        <v>4</v>
      </c>
      <c r="O15" s="340"/>
      <c r="P15" s="340"/>
      <c r="S15" s="340"/>
      <c r="T15" s="343"/>
    </row>
    <row r="16" spans="1:20">
      <c r="A16" s="339">
        <v>12</v>
      </c>
      <c r="B16" s="340"/>
      <c r="H16" s="340"/>
      <c r="I16" s="340"/>
      <c r="O16" s="340"/>
      <c r="P16" s="340"/>
      <c r="S16" s="340"/>
      <c r="T16" s="343"/>
    </row>
    <row r="17" spans="1:20">
      <c r="A17" s="339">
        <v>13</v>
      </c>
      <c r="B17" s="340"/>
      <c r="C17" s="338">
        <v>4.5</v>
      </c>
      <c r="H17" s="340"/>
      <c r="I17" s="340"/>
      <c r="L17" s="338">
        <v>5.25</v>
      </c>
      <c r="M17" s="338">
        <v>0.5</v>
      </c>
      <c r="N17" s="338">
        <v>4.25</v>
      </c>
      <c r="O17" s="340"/>
      <c r="P17" s="340"/>
      <c r="Q17" s="338">
        <v>7</v>
      </c>
      <c r="S17" s="340"/>
      <c r="T17" s="343"/>
    </row>
    <row r="18" spans="1:20">
      <c r="A18" s="339">
        <v>14</v>
      </c>
      <c r="B18" s="340"/>
      <c r="H18" s="340"/>
      <c r="I18" s="340"/>
      <c r="M18" s="338">
        <v>0.5</v>
      </c>
      <c r="O18" s="340"/>
      <c r="P18" s="340"/>
      <c r="Q18" s="338">
        <v>5.5</v>
      </c>
      <c r="S18" s="340"/>
      <c r="T18" s="343"/>
    </row>
    <row r="19" spans="1:20">
      <c r="A19" s="339">
        <v>15</v>
      </c>
      <c r="B19" s="340"/>
      <c r="H19" s="340"/>
      <c r="I19" s="340"/>
      <c r="O19" s="340"/>
      <c r="P19" s="340"/>
      <c r="S19" s="340"/>
      <c r="T19" s="343"/>
    </row>
    <row r="20" spans="1:20">
      <c r="A20" s="339">
        <v>16</v>
      </c>
      <c r="B20" s="340"/>
      <c r="H20" s="340"/>
      <c r="I20" s="340"/>
      <c r="L20" s="338">
        <v>5.25</v>
      </c>
      <c r="M20" s="338">
        <v>0.5</v>
      </c>
      <c r="N20" s="338">
        <v>4.75</v>
      </c>
      <c r="O20" s="340"/>
      <c r="P20" s="340"/>
      <c r="Q20" s="338">
        <v>7.5</v>
      </c>
      <c r="S20" s="340"/>
      <c r="T20" s="343"/>
    </row>
    <row r="21" spans="1:20">
      <c r="A21" s="339">
        <v>17</v>
      </c>
      <c r="B21" s="340"/>
      <c r="C21" s="338">
        <v>6.5</v>
      </c>
      <c r="E21" s="338">
        <v>5.75</v>
      </c>
      <c r="H21" s="340"/>
      <c r="I21" s="340"/>
      <c r="O21" s="340"/>
      <c r="P21" s="340"/>
      <c r="Q21" s="338">
        <v>0.75</v>
      </c>
      <c r="S21" s="340"/>
      <c r="T21" s="343"/>
    </row>
    <row r="22" spans="1:20">
      <c r="A22" s="339">
        <v>18</v>
      </c>
      <c r="B22" s="340"/>
      <c r="H22" s="340"/>
      <c r="I22" s="340"/>
      <c r="O22" s="340"/>
      <c r="P22" s="340"/>
      <c r="S22" s="340"/>
      <c r="T22" s="343"/>
    </row>
    <row r="23" spans="1:20">
      <c r="A23" s="339">
        <v>19</v>
      </c>
      <c r="B23" s="340"/>
      <c r="G23" s="338">
        <v>2</v>
      </c>
      <c r="H23" s="340"/>
      <c r="I23" s="340"/>
      <c r="O23" s="340"/>
      <c r="P23" s="340"/>
      <c r="S23" s="340"/>
      <c r="T23" s="343"/>
    </row>
    <row r="24" spans="1:20">
      <c r="A24" s="339">
        <v>20</v>
      </c>
      <c r="B24" s="340"/>
      <c r="G24" s="338">
        <v>5</v>
      </c>
      <c r="H24" s="340"/>
      <c r="I24" s="340"/>
      <c r="L24" s="338">
        <v>5.25</v>
      </c>
      <c r="M24" s="338">
        <v>0.5</v>
      </c>
      <c r="N24" s="338">
        <v>4.25</v>
      </c>
      <c r="O24" s="340"/>
      <c r="P24" s="340"/>
      <c r="Q24" s="338">
        <v>7.25</v>
      </c>
      <c r="S24" s="340"/>
      <c r="T24" s="343"/>
    </row>
    <row r="25" spans="1:20">
      <c r="A25" s="339">
        <v>21</v>
      </c>
      <c r="B25" s="340"/>
      <c r="H25" s="340"/>
      <c r="I25" s="340"/>
      <c r="M25" s="338">
        <v>0.5</v>
      </c>
      <c r="O25" s="340"/>
      <c r="P25" s="340"/>
      <c r="Q25" s="338">
        <v>0.75</v>
      </c>
      <c r="S25" s="340"/>
      <c r="T25" s="343"/>
    </row>
    <row r="26" spans="1:20">
      <c r="A26" s="339">
        <v>22</v>
      </c>
      <c r="B26" s="340"/>
      <c r="H26" s="340"/>
      <c r="I26" s="340"/>
      <c r="O26" s="340"/>
      <c r="P26" s="340"/>
      <c r="S26" s="340"/>
      <c r="T26" s="343"/>
    </row>
    <row r="27" spans="1:20">
      <c r="A27" s="339">
        <v>23</v>
      </c>
      <c r="B27" s="340"/>
      <c r="H27" s="340"/>
      <c r="I27" s="340"/>
      <c r="L27" s="338">
        <v>5.25</v>
      </c>
      <c r="M27" s="338">
        <v>0.5</v>
      </c>
      <c r="N27" s="338">
        <v>4.5</v>
      </c>
      <c r="O27" s="340"/>
      <c r="P27" s="340"/>
      <c r="Q27" s="338">
        <v>7</v>
      </c>
      <c r="S27" s="340"/>
      <c r="T27" s="343"/>
    </row>
    <row r="28" spans="1:20">
      <c r="A28" s="339">
        <v>24</v>
      </c>
      <c r="B28" s="340"/>
      <c r="C28" s="338">
        <v>8.75</v>
      </c>
      <c r="D28" s="338">
        <v>9</v>
      </c>
      <c r="E28" s="338">
        <v>6.25</v>
      </c>
      <c r="F28" s="338">
        <v>8.25</v>
      </c>
      <c r="H28" s="340"/>
      <c r="I28" s="340"/>
      <c r="O28" s="340"/>
      <c r="P28" s="340"/>
      <c r="S28" s="340"/>
      <c r="T28" s="343"/>
    </row>
    <row r="29" spans="1:20">
      <c r="A29" s="339">
        <v>25</v>
      </c>
      <c r="B29" s="340"/>
      <c r="H29" s="340"/>
      <c r="I29" s="340"/>
      <c r="M29" s="338">
        <v>0.5</v>
      </c>
      <c r="O29" s="340"/>
      <c r="P29" s="340"/>
      <c r="Q29" s="338">
        <v>5.25</v>
      </c>
      <c r="S29" s="340"/>
      <c r="T29" s="343"/>
    </row>
    <row r="30" spans="1:20">
      <c r="A30" s="339">
        <v>26</v>
      </c>
      <c r="B30" s="340"/>
      <c r="H30" s="340"/>
      <c r="I30" s="340"/>
      <c r="J30" s="338">
        <v>3.5</v>
      </c>
      <c r="O30" s="340"/>
      <c r="P30" s="340"/>
      <c r="Q30" s="338">
        <v>1.25</v>
      </c>
      <c r="S30" s="340"/>
      <c r="T30" s="343"/>
    </row>
    <row r="31" spans="1:20">
      <c r="A31" s="339">
        <v>27</v>
      </c>
      <c r="B31" s="340"/>
      <c r="C31" s="338">
        <v>5.5</v>
      </c>
      <c r="H31" s="340"/>
      <c r="I31" s="340"/>
      <c r="L31" s="338">
        <v>5</v>
      </c>
      <c r="M31" s="338">
        <v>0.5</v>
      </c>
      <c r="N31" s="338">
        <v>4.25</v>
      </c>
      <c r="O31" s="340"/>
      <c r="P31" s="340"/>
      <c r="Q31" s="338">
        <v>7.25</v>
      </c>
      <c r="S31" s="340"/>
      <c r="T31" s="343"/>
    </row>
    <row r="32" spans="1:20">
      <c r="A32" s="339">
        <v>28</v>
      </c>
      <c r="B32" s="340"/>
      <c r="G32" s="338">
        <v>2</v>
      </c>
      <c r="H32" s="340"/>
      <c r="I32" s="340"/>
      <c r="M32" s="338">
        <v>3</v>
      </c>
      <c r="O32" s="340"/>
      <c r="P32" s="340"/>
      <c r="Q32" s="338">
        <v>0.5</v>
      </c>
      <c r="S32" s="340"/>
      <c r="T32" s="343"/>
    </row>
    <row r="33" spans="1:20">
      <c r="A33" s="339">
        <v>29</v>
      </c>
      <c r="B33" s="340"/>
      <c r="H33" s="340"/>
      <c r="I33" s="340"/>
      <c r="O33" s="340"/>
      <c r="P33" s="340"/>
      <c r="S33" s="340"/>
      <c r="T33" s="343"/>
    </row>
    <row r="34" spans="1:20">
      <c r="A34" s="339">
        <v>30</v>
      </c>
      <c r="B34" s="340"/>
      <c r="H34" s="340"/>
      <c r="I34" s="340"/>
      <c r="L34" s="338">
        <v>5.25</v>
      </c>
      <c r="M34" s="338">
        <v>0.5</v>
      </c>
      <c r="N34" s="338">
        <v>4.75</v>
      </c>
      <c r="O34" s="340"/>
      <c r="P34" s="340"/>
      <c r="Q34" s="338">
        <v>7.5</v>
      </c>
      <c r="S34" s="340"/>
      <c r="T34" s="343"/>
    </row>
    <row r="35" spans="1:20">
      <c r="A35" s="339">
        <v>31</v>
      </c>
      <c r="B35" s="340"/>
      <c r="H35" s="340"/>
      <c r="I35" s="340"/>
      <c r="O35" s="340"/>
      <c r="P35" s="340"/>
      <c r="S35" s="340"/>
      <c r="T35" s="343"/>
    </row>
    <row r="36" spans="1:20" ht="15.75" thickBot="1">
      <c r="A36" s="348"/>
      <c r="B36" s="349"/>
      <c r="C36" s="350">
        <f>SUM(C5:C35)</f>
        <v>42</v>
      </c>
      <c r="D36" s="351">
        <f>SUM(D5:D35)</f>
        <v>18</v>
      </c>
      <c r="E36" s="350">
        <f>SUM(E5:E35)</f>
        <v>23</v>
      </c>
      <c r="F36" s="351">
        <f>SUM(F5:F35)</f>
        <v>17.25</v>
      </c>
      <c r="G36" s="352">
        <f>SUM(G5:G35)</f>
        <v>10</v>
      </c>
      <c r="H36" s="349"/>
      <c r="I36" s="349"/>
      <c r="J36" s="353">
        <f>SUM(J5:J35)</f>
        <v>17.75</v>
      </c>
      <c r="K36" s="353">
        <f>SUM(K5:K35)</f>
        <v>6</v>
      </c>
      <c r="L36" s="354">
        <f>SUM(L5:L35)</f>
        <v>46.75</v>
      </c>
      <c r="M36" s="354">
        <f>SUM(M5:M35)</f>
        <v>9.5</v>
      </c>
      <c r="N36" s="354">
        <f>SUM(N5:N35)</f>
        <v>39.75</v>
      </c>
      <c r="O36" s="349"/>
      <c r="P36" s="349"/>
      <c r="Q36" s="348">
        <f>SUM(Q5:Q35)</f>
        <v>83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7"/>
  <sheetViews>
    <sheetView workbookViewId="0">
      <pane xSplit="3" ySplit="6" topLeftCell="G13" activePane="bottomRight" state="frozen"/>
      <selection pane="topRight" activeCell="D1" sqref="D1"/>
      <selection pane="bottomLeft" activeCell="A7" sqref="A7"/>
      <selection pane="bottomRight" activeCell="M19" sqref="M19"/>
    </sheetView>
  </sheetViews>
  <sheetFormatPr defaultColWidth="8.88671875" defaultRowHeight="15.75"/>
  <cols>
    <col min="1" max="1" width="10.5546875" style="514" customWidth="1"/>
    <col min="2" max="2" width="8.88671875" style="514"/>
    <col min="3" max="3" width="25.6640625" style="514" customWidth="1"/>
    <col min="4" max="4" width="12.88671875" style="514" customWidth="1"/>
    <col min="5" max="5" width="11.44140625" style="514" customWidth="1"/>
    <col min="6" max="6" width="10.109375" style="514" bestFit="1" customWidth="1"/>
    <col min="7" max="7" width="10" style="514" bestFit="1" customWidth="1"/>
    <col min="8" max="8" width="10.109375" style="514" customWidth="1"/>
    <col min="9" max="9" width="10.109375" style="612" customWidth="1"/>
    <col min="10" max="12" width="10.109375" style="514" customWidth="1"/>
    <col min="13" max="13" width="10.109375" style="514" bestFit="1" customWidth="1"/>
    <col min="14" max="14" width="3.21875" style="514" customWidth="1"/>
    <col min="15" max="15" width="8.88671875" style="572"/>
    <col min="16" max="17" width="8.88671875" style="514"/>
    <col min="18" max="18" width="8.88671875" style="572"/>
    <col min="19" max="16384" width="8.88671875" style="514"/>
  </cols>
  <sheetData>
    <row r="1" spans="1:19">
      <c r="A1" s="514" t="str">
        <f>'Income Statement'!A1</f>
        <v>Freedom 2000</v>
      </c>
      <c r="E1" s="526"/>
      <c r="F1" s="526"/>
      <c r="G1" s="526"/>
      <c r="H1" s="526"/>
      <c r="I1" s="600"/>
      <c r="J1" s="526"/>
      <c r="K1" s="526"/>
      <c r="L1" s="526"/>
      <c r="M1" s="526"/>
    </row>
    <row r="2" spans="1:19">
      <c r="E2" s="526"/>
      <c r="F2" s="526"/>
      <c r="G2" s="526"/>
      <c r="H2" s="526"/>
      <c r="I2" s="600"/>
      <c r="J2" s="526"/>
      <c r="K2" s="526"/>
      <c r="L2" s="526"/>
      <c r="M2" s="526"/>
    </row>
    <row r="3" spans="1:19">
      <c r="E3" s="527"/>
      <c r="F3" s="527"/>
      <c r="G3" s="527"/>
      <c r="H3" s="527"/>
      <c r="I3" s="600"/>
      <c r="J3" s="527"/>
      <c r="K3" s="527"/>
      <c r="L3" s="528" t="s">
        <v>463</v>
      </c>
      <c r="M3" s="529"/>
    </row>
    <row r="4" spans="1:19">
      <c r="E4" s="527"/>
      <c r="F4" s="527"/>
      <c r="G4" s="527" t="s">
        <v>462</v>
      </c>
      <c r="H4" s="529" t="s">
        <v>462</v>
      </c>
      <c r="I4" s="593" t="s">
        <v>514</v>
      </c>
      <c r="J4" s="593" t="s">
        <v>297</v>
      </c>
      <c r="K4" s="593" t="s">
        <v>297</v>
      </c>
      <c r="L4" s="528" t="s">
        <v>464</v>
      </c>
      <c r="M4" s="529" t="s">
        <v>103</v>
      </c>
    </row>
    <row r="5" spans="1:19">
      <c r="D5" s="514" t="s">
        <v>462</v>
      </c>
      <c r="E5" s="527" t="s">
        <v>239</v>
      </c>
      <c r="F5" s="527" t="s">
        <v>240</v>
      </c>
      <c r="G5" s="527" t="s">
        <v>225</v>
      </c>
      <c r="H5" s="529" t="s">
        <v>103</v>
      </c>
      <c r="I5" s="593" t="s">
        <v>509</v>
      </c>
      <c r="J5" s="593" t="s">
        <v>389</v>
      </c>
      <c r="K5" s="593" t="s">
        <v>468</v>
      </c>
      <c r="L5" s="528" t="s">
        <v>225</v>
      </c>
      <c r="M5" s="529" t="s">
        <v>465</v>
      </c>
    </row>
    <row r="6" spans="1:19" ht="16.5" thickBot="1">
      <c r="D6" s="530"/>
      <c r="E6" s="530" t="s">
        <v>251</v>
      </c>
      <c r="F6" s="530" t="s">
        <v>103</v>
      </c>
      <c r="G6" s="530" t="s">
        <v>251</v>
      </c>
      <c r="H6" s="531"/>
      <c r="I6" s="530" t="s">
        <v>257</v>
      </c>
      <c r="J6" s="530" t="s">
        <v>515</v>
      </c>
      <c r="K6" s="530" t="s">
        <v>76</v>
      </c>
      <c r="L6" s="532" t="s">
        <v>251</v>
      </c>
      <c r="M6" s="529" t="s">
        <v>256</v>
      </c>
    </row>
    <row r="7" spans="1:19">
      <c r="B7" s="514" t="s">
        <v>259</v>
      </c>
      <c r="D7" s="515">
        <f>'Income Statement'!P9</f>
        <v>84005.19</v>
      </c>
      <c r="E7" s="515">
        <f>'Income Statement'!Q9</f>
        <v>-14634</v>
      </c>
      <c r="F7" s="515">
        <f t="shared" ref="F7:F11" si="0">SUM(D7:E7)</f>
        <v>69371.19</v>
      </c>
      <c r="G7" s="515"/>
      <c r="H7" s="516">
        <f t="shared" ref="H7:H14" si="1">SUM(F7:G7)</f>
        <v>69371.19</v>
      </c>
      <c r="I7" s="677">
        <f ca="1">'Income Statement'!U9</f>
        <v>3654.6390493355052</v>
      </c>
      <c r="J7" s="673"/>
      <c r="K7" s="673"/>
      <c r="L7" s="575">
        <f ca="1">'Projected price out'!I20+'Projected price out'!I42-'Garbage Adj.'!H7</f>
        <v>252645.50287963514</v>
      </c>
      <c r="M7" s="516">
        <f ca="1">SUM(H7:L7)</f>
        <v>325671.33192897064</v>
      </c>
      <c r="O7" s="668">
        <f>H7</f>
        <v>69371.19</v>
      </c>
      <c r="P7" s="668">
        <f>'Recycling Adj.'!H7</f>
        <v>0</v>
      </c>
      <c r="Q7" s="669">
        <f>SUM(O7:P7)</f>
        <v>69371.19</v>
      </c>
      <c r="R7" s="668"/>
      <c r="S7" s="670"/>
    </row>
    <row r="8" spans="1:19">
      <c r="D8" s="515">
        <f>'Income Statement'!P10</f>
        <v>0</v>
      </c>
      <c r="E8" s="515">
        <f>'Income Statement'!Q10</f>
        <v>18916</v>
      </c>
      <c r="F8" s="515"/>
      <c r="G8" s="515"/>
      <c r="H8" s="516">
        <f t="shared" si="1"/>
        <v>0</v>
      </c>
      <c r="I8" s="610"/>
      <c r="J8" s="594"/>
      <c r="K8" s="594"/>
      <c r="L8" s="575"/>
      <c r="M8" s="516">
        <f t="shared" ref="M8:M11" si="2">SUM(H8:L8)</f>
        <v>0</v>
      </c>
      <c r="O8" s="668">
        <f t="shared" ref="O8:O67" si="3">H8</f>
        <v>0</v>
      </c>
      <c r="P8" s="668">
        <f>'Recycling Adj.'!H8</f>
        <v>18916</v>
      </c>
      <c r="Q8" s="669">
        <f t="shared" ref="Q8:Q66" si="4">SUM(O8:P8)</f>
        <v>18916</v>
      </c>
      <c r="R8" s="668"/>
      <c r="S8" s="670"/>
    </row>
    <row r="9" spans="1:19">
      <c r="B9" s="514" t="s">
        <v>260</v>
      </c>
      <c r="D9" s="515">
        <f>'Income Statement'!P11</f>
        <v>87357.48000000001</v>
      </c>
      <c r="E9" s="515">
        <f>'Income Statement'!Q11</f>
        <v>-2503.4800000000105</v>
      </c>
      <c r="F9" s="515">
        <f t="shared" si="0"/>
        <v>84854</v>
      </c>
      <c r="G9" s="515"/>
      <c r="H9" s="516">
        <f t="shared" si="1"/>
        <v>84854</v>
      </c>
      <c r="I9" s="610">
        <f ca="1">'Income Statement'!U11</f>
        <v>4496.6101937941876</v>
      </c>
      <c r="J9" s="594"/>
      <c r="K9" s="594"/>
      <c r="L9" s="575"/>
      <c r="M9" s="516">
        <f t="shared" ca="1" si="2"/>
        <v>89350.610193794186</v>
      </c>
      <c r="O9" s="668">
        <f t="shared" si="3"/>
        <v>84854</v>
      </c>
      <c r="P9" s="668">
        <f>'Recycling Adj.'!H9</f>
        <v>0</v>
      </c>
      <c r="Q9" s="669">
        <f t="shared" si="4"/>
        <v>84854</v>
      </c>
      <c r="R9" s="668"/>
      <c r="S9" s="670"/>
    </row>
    <row r="10" spans="1:19">
      <c r="B10" s="514" t="s">
        <v>261</v>
      </c>
      <c r="D10" s="515">
        <f>'Income Statement'!P12</f>
        <v>55373.700000000004</v>
      </c>
      <c r="E10" s="515">
        <f>'Income Statement'!Q12</f>
        <v>-7636</v>
      </c>
      <c r="F10" s="515">
        <f t="shared" si="0"/>
        <v>47737.700000000004</v>
      </c>
      <c r="G10" s="515"/>
      <c r="H10" s="516">
        <f t="shared" si="1"/>
        <v>47737.700000000004</v>
      </c>
      <c r="I10" s="610"/>
      <c r="J10" s="594"/>
      <c r="K10" s="594"/>
      <c r="L10" s="584"/>
      <c r="M10" s="516">
        <f t="shared" si="2"/>
        <v>47737.700000000004</v>
      </c>
      <c r="O10" s="668">
        <f t="shared" si="3"/>
        <v>47737.700000000004</v>
      </c>
      <c r="P10" s="668">
        <f>'Recycling Adj.'!H10</f>
        <v>0</v>
      </c>
      <c r="Q10" s="669">
        <f t="shared" si="4"/>
        <v>47737.700000000004</v>
      </c>
      <c r="R10" s="668"/>
      <c r="S10" s="670"/>
    </row>
    <row r="11" spans="1:19">
      <c r="B11" s="514" t="s">
        <v>262</v>
      </c>
      <c r="D11" s="515">
        <f>'Income Statement'!P13</f>
        <v>178874.51</v>
      </c>
      <c r="E11" s="515">
        <f>'Income Statement'!Q13</f>
        <v>-178875</v>
      </c>
      <c r="F11" s="515">
        <f t="shared" si="0"/>
        <v>-0.48999999999068677</v>
      </c>
      <c r="G11" s="599"/>
      <c r="H11" s="660">
        <f t="shared" si="1"/>
        <v>-0.48999999999068677</v>
      </c>
      <c r="I11" s="678"/>
      <c r="J11" s="598"/>
      <c r="K11" s="598"/>
      <c r="L11" s="584"/>
      <c r="M11" s="516">
        <f t="shared" si="2"/>
        <v>-0.48999999999068677</v>
      </c>
      <c r="O11" s="668">
        <f t="shared" si="3"/>
        <v>-0.48999999999068677</v>
      </c>
      <c r="P11" s="668">
        <f>'Recycling Adj.'!H11</f>
        <v>-0.48999999999068677</v>
      </c>
      <c r="Q11" s="669">
        <f t="shared" si="4"/>
        <v>-0.97999999998137355</v>
      </c>
      <c r="R11" s="668"/>
      <c r="S11" s="670"/>
    </row>
    <row r="12" spans="1:19">
      <c r="B12" s="514" t="s">
        <v>263</v>
      </c>
      <c r="D12" s="515">
        <f>'Income Statement'!P14</f>
        <v>0</v>
      </c>
      <c r="E12" s="515">
        <f>'Income Statement'!Q14</f>
        <v>0</v>
      </c>
      <c r="F12" s="515">
        <f t="shared" ref="F12:F13" si="5">SUM(D12:E12)</f>
        <v>0</v>
      </c>
      <c r="G12" s="515"/>
      <c r="H12" s="516">
        <f t="shared" si="1"/>
        <v>0</v>
      </c>
      <c r="I12" s="610"/>
      <c r="J12" s="594"/>
      <c r="K12" s="594"/>
      <c r="L12" s="584"/>
      <c r="M12" s="516">
        <f t="shared" ref="M12:M14" si="6">H12+I12+L12</f>
        <v>0</v>
      </c>
      <c r="O12" s="668">
        <f t="shared" si="3"/>
        <v>0</v>
      </c>
      <c r="P12" s="668">
        <f>'Recycling Adj.'!H12</f>
        <v>0</v>
      </c>
      <c r="Q12" s="669">
        <f t="shared" si="4"/>
        <v>0</v>
      </c>
      <c r="R12" s="668"/>
      <c r="S12" s="670"/>
    </row>
    <row r="13" spans="1:19">
      <c r="B13" s="514" t="s">
        <v>264</v>
      </c>
      <c r="D13" s="515">
        <f>'Income Statement'!P15</f>
        <v>0</v>
      </c>
      <c r="E13" s="515"/>
      <c r="F13" s="515">
        <f t="shared" si="5"/>
        <v>0</v>
      </c>
      <c r="G13" s="515"/>
      <c r="H13" s="516">
        <f t="shared" si="1"/>
        <v>0</v>
      </c>
      <c r="I13" s="610"/>
      <c r="J13" s="594"/>
      <c r="K13" s="594"/>
      <c r="L13" s="584"/>
      <c r="M13" s="516">
        <f t="shared" si="6"/>
        <v>0</v>
      </c>
      <c r="O13" s="668">
        <f t="shared" si="3"/>
        <v>0</v>
      </c>
      <c r="P13" s="668">
        <f>'Recycling Adj.'!H13</f>
        <v>0</v>
      </c>
      <c r="Q13" s="669">
        <f t="shared" si="4"/>
        <v>0</v>
      </c>
      <c r="R13" s="668"/>
      <c r="S13" s="670"/>
    </row>
    <row r="14" spans="1:19">
      <c r="B14" s="514" t="s">
        <v>265</v>
      </c>
      <c r="D14" s="525">
        <f>'Income Statement'!P16</f>
        <v>0</v>
      </c>
      <c r="E14" s="525"/>
      <c r="F14" s="525"/>
      <c r="G14" s="525"/>
      <c r="H14" s="573">
        <f t="shared" si="1"/>
        <v>0</v>
      </c>
      <c r="I14" s="679"/>
      <c r="J14" s="629"/>
      <c r="K14" s="629"/>
      <c r="L14" s="577"/>
      <c r="M14" s="516">
        <f t="shared" si="6"/>
        <v>0</v>
      </c>
      <c r="O14" s="668">
        <f t="shared" si="3"/>
        <v>0</v>
      </c>
      <c r="P14" s="668">
        <f>'Recycling Adj.'!H14</f>
        <v>0</v>
      </c>
      <c r="Q14" s="669">
        <f t="shared" si="4"/>
        <v>0</v>
      </c>
      <c r="R14" s="668"/>
      <c r="S14" s="670"/>
    </row>
    <row r="15" spans="1:19">
      <c r="D15" s="525"/>
      <c r="E15" s="525"/>
      <c r="F15" s="525"/>
      <c r="G15" s="525"/>
      <c r="H15" s="525"/>
      <c r="I15" s="602"/>
      <c r="J15" s="629"/>
      <c r="K15" s="629"/>
      <c r="L15" s="577"/>
      <c r="M15" s="588">
        <f t="shared" ref="M15" si="7">H15+L15</f>
        <v>0</v>
      </c>
      <c r="O15" s="668">
        <f t="shared" si="3"/>
        <v>0</v>
      </c>
      <c r="P15" s="668">
        <f>'Recycling Adj.'!H15</f>
        <v>0</v>
      </c>
      <c r="Q15" s="669">
        <f t="shared" si="4"/>
        <v>0</v>
      </c>
      <c r="R15" s="668"/>
      <c r="S15" s="670"/>
    </row>
    <row r="16" spans="1:19">
      <c r="B16" s="514" t="s">
        <v>12</v>
      </c>
      <c r="D16" s="585">
        <f>SUM(D7:D15)</f>
        <v>405610.88</v>
      </c>
      <c r="E16" s="585"/>
      <c r="F16" s="585">
        <f>SUM(F7:F15)</f>
        <v>201962.40000000002</v>
      </c>
      <c r="G16" s="585"/>
      <c r="H16" s="590">
        <f>SUM(H7:H15)</f>
        <v>201962.40000000002</v>
      </c>
      <c r="I16" s="590">
        <f t="shared" ref="I16:L16" ca="1" si="8">SUM(I7:I15)</f>
        <v>8151.2492431296923</v>
      </c>
      <c r="J16" s="590">
        <f t="shared" si="8"/>
        <v>0</v>
      </c>
      <c r="K16" s="672">
        <f t="shared" si="8"/>
        <v>0</v>
      </c>
      <c r="L16" s="672">
        <f t="shared" ca="1" si="8"/>
        <v>252645.50287963514</v>
      </c>
      <c r="M16" s="590">
        <f ca="1">SUM(M7:M15)</f>
        <v>462759.15212276485</v>
      </c>
      <c r="O16" s="668">
        <f t="shared" si="3"/>
        <v>201962.40000000002</v>
      </c>
      <c r="P16" s="668">
        <f>'Recycling Adj.'!H16</f>
        <v>18915.510000000009</v>
      </c>
      <c r="Q16" s="669">
        <f t="shared" si="4"/>
        <v>220877.91000000003</v>
      </c>
      <c r="R16" s="668">
        <f>'Income Statement'!T18</f>
        <v>220878.40000000002</v>
      </c>
      <c r="S16" s="669">
        <f>Q16-R16</f>
        <v>-0.48999999999068677</v>
      </c>
    </row>
    <row r="17" spans="2:19">
      <c r="D17" s="535"/>
      <c r="E17" s="535"/>
      <c r="F17" s="535"/>
      <c r="G17" s="583"/>
      <c r="H17" s="583"/>
      <c r="I17" s="603"/>
      <c r="J17" s="578"/>
      <c r="K17" s="578"/>
      <c r="L17" s="584"/>
      <c r="M17" s="583"/>
      <c r="O17" s="668">
        <f t="shared" si="3"/>
        <v>0</v>
      </c>
      <c r="P17" s="668">
        <f>'Recycling Adj.'!H17</f>
        <v>0</v>
      </c>
      <c r="Q17" s="669">
        <f t="shared" si="4"/>
        <v>0</v>
      </c>
      <c r="R17" s="668"/>
      <c r="S17" s="670"/>
    </row>
    <row r="18" spans="2:19">
      <c r="D18" s="519"/>
      <c r="H18" s="538"/>
      <c r="I18" s="604"/>
      <c r="J18" s="581"/>
      <c r="K18" s="581"/>
      <c r="L18" s="579"/>
      <c r="M18" s="516"/>
      <c r="O18" s="668">
        <f t="shared" si="3"/>
        <v>0</v>
      </c>
      <c r="P18" s="668">
        <f>'Recycling Adj.'!H18</f>
        <v>0</v>
      </c>
      <c r="Q18" s="669">
        <f t="shared" si="4"/>
        <v>0</v>
      </c>
      <c r="R18" s="668"/>
      <c r="S18" s="670"/>
    </row>
    <row r="19" spans="2:19">
      <c r="B19" s="520" t="s">
        <v>268</v>
      </c>
      <c r="C19" s="520"/>
      <c r="D19" s="517">
        <f>Tonnage!N11</f>
        <v>250010.27958821328</v>
      </c>
      <c r="E19" s="517">
        <f>-D19*'Drive Hours Recap'!L34</f>
        <v>-130624.65829632261</v>
      </c>
      <c r="F19" s="517">
        <f>SUM(D19:E19)</f>
        <v>119385.62129189067</v>
      </c>
      <c r="G19" s="517">
        <f>Tonnage!J8-F19</f>
        <v>-12232.487309132441</v>
      </c>
      <c r="H19" s="518">
        <f>SUM(F19:G19)</f>
        <v>107153.13398275823</v>
      </c>
      <c r="I19" s="619">
        <f>'Cando 2019'!N68</f>
        <v>168000</v>
      </c>
      <c r="J19" s="676">
        <v>1</v>
      </c>
      <c r="K19" s="674">
        <f>I19*J19</f>
        <v>168000</v>
      </c>
      <c r="L19" s="591">
        <f>Tonnage!N11-K19</f>
        <v>82010.279588213278</v>
      </c>
      <c r="M19" s="516">
        <f>K19+L19</f>
        <v>250010.27958821328</v>
      </c>
      <c r="O19" s="668">
        <f t="shared" si="3"/>
        <v>107153.13398275823</v>
      </c>
      <c r="P19" s="668">
        <f>'Recycling Adj.'!H19</f>
        <v>0</v>
      </c>
      <c r="Q19" s="669">
        <f t="shared" si="4"/>
        <v>107153.13398275823</v>
      </c>
      <c r="R19" s="668">
        <f>'Income Statement'!T21</f>
        <v>107153.13398275823</v>
      </c>
      <c r="S19" s="671">
        <f>Q19-R19</f>
        <v>0</v>
      </c>
    </row>
    <row r="20" spans="2:19">
      <c r="B20" s="520" t="s">
        <v>516</v>
      </c>
      <c r="C20" s="520"/>
      <c r="D20" s="515">
        <f>'Income Statement'!P22</f>
        <v>0</v>
      </c>
      <c r="E20" s="515">
        <f>'Income Statement'!Q22*'Drive Hours Recap'!$E$24</f>
        <v>0</v>
      </c>
      <c r="F20" s="515">
        <f t="shared" ref="F20:F65" si="9">D20+E20</f>
        <v>0</v>
      </c>
      <c r="G20" s="515"/>
      <c r="H20" s="516">
        <f t="shared" ref="H20:H65" si="10">SUM(F20:G20)</f>
        <v>0</v>
      </c>
      <c r="I20" s="619">
        <f>'Cando 2019'!N65</f>
        <v>2640</v>
      </c>
      <c r="J20" s="652">
        <f>'Total Hrs'!$C$43</f>
        <v>0.59919028340080971</v>
      </c>
      <c r="K20" s="674">
        <f t="shared" ref="K20:K65" si="11">I20*J20</f>
        <v>1581.8623481781376</v>
      </c>
      <c r="L20" s="579">
        <f>-K20</f>
        <v>-1581.8623481781376</v>
      </c>
      <c r="M20" s="516">
        <f t="shared" ref="M20:M66" si="12">K20+L20</f>
        <v>0</v>
      </c>
      <c r="O20" s="668">
        <f t="shared" si="3"/>
        <v>0</v>
      </c>
      <c r="P20" s="668">
        <f>'Recycling Adj.'!H20</f>
        <v>0</v>
      </c>
      <c r="Q20" s="669">
        <f t="shared" si="4"/>
        <v>0</v>
      </c>
      <c r="R20" s="668"/>
      <c r="S20" s="670"/>
    </row>
    <row r="21" spans="2:19">
      <c r="B21" s="520" t="s">
        <v>270</v>
      </c>
      <c r="C21" s="520"/>
      <c r="D21" s="517">
        <f>'Income Statement'!P23</f>
        <v>20260.240000000002</v>
      </c>
      <c r="E21" s="517">
        <f>'Income Statement'!Q23</f>
        <v>-10585.512449169933</v>
      </c>
      <c r="F21" s="517">
        <f t="shared" si="9"/>
        <v>9674.7275508300681</v>
      </c>
      <c r="G21" s="522">
        <f>F21*'Drive Hours Recap'!E24-'Garbage Adj.'!F21</f>
        <v>-2682.8479658716969</v>
      </c>
      <c r="H21" s="518">
        <f t="shared" si="10"/>
        <v>6991.8795849583712</v>
      </c>
      <c r="I21" s="618">
        <f>'Cando 2019'!N58</f>
        <v>4200</v>
      </c>
      <c r="J21" s="652">
        <f>'Total Hrs'!$C$43</f>
        <v>0.59919028340080971</v>
      </c>
      <c r="K21" s="674">
        <f t="shared" si="11"/>
        <v>2516.5991902834007</v>
      </c>
      <c r="L21" s="579"/>
      <c r="M21" s="516">
        <f t="shared" si="12"/>
        <v>2516.5991902834007</v>
      </c>
      <c r="O21" s="668">
        <f t="shared" si="3"/>
        <v>6991.8795849583712</v>
      </c>
      <c r="P21" s="668">
        <f>'Recycling Adj.'!H21</f>
        <v>2682.8479658716969</v>
      </c>
      <c r="Q21" s="669">
        <f t="shared" si="4"/>
        <v>9674.7275508300681</v>
      </c>
      <c r="R21" s="668">
        <f>'Income Statement'!T23</f>
        <v>9674.7275508300681</v>
      </c>
      <c r="S21" s="671">
        <f>Q21-R21</f>
        <v>0</v>
      </c>
    </row>
    <row r="22" spans="2:19">
      <c r="B22" s="520"/>
      <c r="C22" s="520" t="s">
        <v>467</v>
      </c>
      <c r="D22" s="515"/>
      <c r="E22" s="515"/>
      <c r="F22" s="515"/>
      <c r="G22" s="515"/>
      <c r="H22" s="516">
        <f t="shared" si="10"/>
        <v>0</v>
      </c>
      <c r="I22" s="620">
        <f>'Cando 2019'!N67</f>
        <v>1200</v>
      </c>
      <c r="J22" s="652">
        <f>'Total Hrs'!$C$43</f>
        <v>0.59919028340080971</v>
      </c>
      <c r="K22" s="674">
        <f t="shared" si="11"/>
        <v>719.0283400809717</v>
      </c>
      <c r="L22" s="579"/>
      <c r="M22" s="516">
        <f t="shared" si="12"/>
        <v>719.0283400809717</v>
      </c>
      <c r="O22" s="668">
        <f t="shared" si="3"/>
        <v>0</v>
      </c>
      <c r="P22" s="668">
        <f>'Recycling Adj.'!H22</f>
        <v>0</v>
      </c>
      <c r="Q22" s="669">
        <f t="shared" si="4"/>
        <v>0</v>
      </c>
      <c r="R22" s="668"/>
      <c r="S22" s="670"/>
    </row>
    <row r="23" spans="2:19">
      <c r="B23" s="520"/>
      <c r="C23" s="520"/>
      <c r="D23" s="515"/>
      <c r="E23" s="515"/>
      <c r="F23" s="515"/>
      <c r="G23" s="515"/>
      <c r="H23" s="516"/>
      <c r="I23" s="606"/>
      <c r="J23" s="652">
        <f>'Total Hrs'!$C$43</f>
        <v>0.59919028340080971</v>
      </c>
      <c r="K23" s="674">
        <f t="shared" si="11"/>
        <v>0</v>
      </c>
      <c r="L23" s="579"/>
      <c r="M23" s="516">
        <f t="shared" si="12"/>
        <v>0</v>
      </c>
      <c r="O23" s="668">
        <f t="shared" si="3"/>
        <v>0</v>
      </c>
      <c r="P23" s="668">
        <f>'Recycling Adj.'!H23</f>
        <v>0</v>
      </c>
      <c r="Q23" s="669">
        <f t="shared" si="4"/>
        <v>0</v>
      </c>
      <c r="R23" s="668"/>
      <c r="S23" s="670"/>
    </row>
    <row r="24" spans="2:19">
      <c r="B24" s="520" t="s">
        <v>271</v>
      </c>
      <c r="C24" s="520"/>
      <c r="D24" s="515">
        <f>'Income Statement'!P24*'Drive Hours Recap'!E24</f>
        <v>1619.2781899588961</v>
      </c>
      <c r="E24" s="515">
        <f>'Income Statement'!Q24*'Drive Hours Recap'!E24</f>
        <v>-846.03585339952792</v>
      </c>
      <c r="F24" s="515">
        <f t="shared" si="9"/>
        <v>773.24233655936814</v>
      </c>
      <c r="G24" s="515">
        <v>0</v>
      </c>
      <c r="H24" s="516">
        <f t="shared" si="10"/>
        <v>773.24233655936814</v>
      </c>
      <c r="I24" s="616">
        <f>'Cando 2019'!N59</f>
        <v>2400</v>
      </c>
      <c r="J24" s="652">
        <f>'Total Hrs'!$C$43</f>
        <v>0.59919028340080971</v>
      </c>
      <c r="K24" s="674">
        <f t="shared" si="11"/>
        <v>1438.0566801619434</v>
      </c>
      <c r="L24" s="579"/>
      <c r="M24" s="516">
        <f t="shared" si="12"/>
        <v>1438.0566801619434</v>
      </c>
      <c r="O24" s="668">
        <f t="shared" si="3"/>
        <v>773.24233655936814</v>
      </c>
      <c r="P24" s="668">
        <f>'Recycling Adj.'!H24</f>
        <v>296.70013685976977</v>
      </c>
      <c r="Q24" s="669">
        <f t="shared" si="4"/>
        <v>1069.942473419138</v>
      </c>
      <c r="R24" s="668">
        <f>'Income Statement'!T24</f>
        <v>1069.942473419138</v>
      </c>
      <c r="S24" s="671">
        <f>Q24-R24</f>
        <v>0</v>
      </c>
    </row>
    <row r="25" spans="2:19">
      <c r="B25" s="520" t="s">
        <v>272</v>
      </c>
      <c r="C25" s="520"/>
      <c r="D25" s="515">
        <f>'Income Statement'!P25</f>
        <v>0</v>
      </c>
      <c r="E25" s="515">
        <f>'Income Statement'!Q25*'Drive Hours Recap'!E25</f>
        <v>0</v>
      </c>
      <c r="F25" s="515">
        <f t="shared" si="9"/>
        <v>0</v>
      </c>
      <c r="G25" s="515">
        <v>0</v>
      </c>
      <c r="H25" s="516">
        <f t="shared" si="10"/>
        <v>0</v>
      </c>
      <c r="I25" s="606"/>
      <c r="J25" s="652">
        <f>'Total Hrs'!$C$43</f>
        <v>0.59919028340080971</v>
      </c>
      <c r="K25" s="674">
        <f t="shared" si="11"/>
        <v>0</v>
      </c>
      <c r="L25" s="579"/>
      <c r="M25" s="516">
        <f t="shared" si="12"/>
        <v>0</v>
      </c>
      <c r="O25" s="668">
        <f t="shared" si="3"/>
        <v>0</v>
      </c>
      <c r="P25" s="668">
        <f>'Recycling Adj.'!H25</f>
        <v>0</v>
      </c>
      <c r="Q25" s="669">
        <f t="shared" si="4"/>
        <v>0</v>
      </c>
      <c r="R25" s="668"/>
      <c r="S25" s="670"/>
    </row>
    <row r="26" spans="2:19">
      <c r="B26" s="520" t="s">
        <v>273</v>
      </c>
      <c r="C26" s="520"/>
      <c r="D26" s="515">
        <f>'Income Statement'!P26</f>
        <v>129804.47</v>
      </c>
      <c r="E26" s="515">
        <f>'Income Statement'!Q26</f>
        <v>-101040.72</v>
      </c>
      <c r="F26" s="515">
        <f t="shared" si="9"/>
        <v>28763.75</v>
      </c>
      <c r="G26" s="522">
        <f>'Drive Hours Recap'!D24-'Garbage Adj.'!F26</f>
        <v>-10048.75</v>
      </c>
      <c r="H26" s="518">
        <f>SUM(F26:G26)</f>
        <v>18715</v>
      </c>
      <c r="I26" s="615">
        <f>'Cando 2019'!N35</f>
        <v>86450</v>
      </c>
      <c r="J26" s="652">
        <f>'Total Hrs'!$C$43</f>
        <v>0.59919028340080971</v>
      </c>
      <c r="K26" s="674">
        <f t="shared" si="11"/>
        <v>51800</v>
      </c>
      <c r="L26" s="579"/>
      <c r="M26" s="516">
        <f t="shared" si="12"/>
        <v>51800</v>
      </c>
      <c r="O26" s="668">
        <f t="shared" si="3"/>
        <v>18715</v>
      </c>
      <c r="P26" s="668">
        <f>'Recycling Adj.'!H26</f>
        <v>10048.75</v>
      </c>
      <c r="Q26" s="669">
        <f t="shared" si="4"/>
        <v>28763.75</v>
      </c>
      <c r="R26" s="668">
        <f>'Income Statement'!T26</f>
        <v>28763.75</v>
      </c>
      <c r="S26" s="671">
        <f>Q26-R26</f>
        <v>0</v>
      </c>
    </row>
    <row r="27" spans="2:19">
      <c r="B27" s="520"/>
      <c r="C27" s="520"/>
      <c r="D27" s="515"/>
      <c r="E27" s="515"/>
      <c r="F27" s="515"/>
      <c r="G27" s="515"/>
      <c r="H27" s="516"/>
      <c r="I27" s="606"/>
      <c r="J27" s="652">
        <f>'Total Hrs'!$C$43</f>
        <v>0.59919028340080971</v>
      </c>
      <c r="K27" s="674">
        <f t="shared" si="11"/>
        <v>0</v>
      </c>
      <c r="L27" s="581"/>
      <c r="M27" s="516">
        <f t="shared" si="12"/>
        <v>0</v>
      </c>
      <c r="O27" s="668">
        <f t="shared" si="3"/>
        <v>0</v>
      </c>
      <c r="P27" s="668">
        <f>'Recycling Adj.'!H27</f>
        <v>0</v>
      </c>
      <c r="Q27" s="669">
        <f t="shared" si="4"/>
        <v>0</v>
      </c>
      <c r="R27" s="668"/>
      <c r="S27" s="670"/>
    </row>
    <row r="28" spans="2:19">
      <c r="B28" s="520" t="s">
        <v>345</v>
      </c>
      <c r="D28" s="515"/>
      <c r="E28" s="515"/>
      <c r="F28" s="515">
        <f t="shared" si="9"/>
        <v>0</v>
      </c>
      <c r="G28" s="515"/>
      <c r="H28" s="516">
        <f t="shared" si="10"/>
        <v>0</v>
      </c>
      <c r="I28" s="623">
        <f>'Cando 2019'!N51-'Cando 2019'!N47-'Cando 2019'!N49</f>
        <v>10562.000000000004</v>
      </c>
      <c r="J28" s="652">
        <f>'Total Hrs'!$C$43</f>
        <v>0.59919028340080971</v>
      </c>
      <c r="K28" s="674">
        <f t="shared" si="11"/>
        <v>6328.6477732793546</v>
      </c>
      <c r="L28" s="579"/>
      <c r="M28" s="516">
        <f t="shared" si="12"/>
        <v>6328.6477732793546</v>
      </c>
      <c r="O28" s="668">
        <f t="shared" si="3"/>
        <v>0</v>
      </c>
      <c r="P28" s="668">
        <f>'Recycling Adj.'!H28</f>
        <v>0</v>
      </c>
      <c r="Q28" s="669">
        <f t="shared" si="4"/>
        <v>0</v>
      </c>
      <c r="R28" s="668"/>
      <c r="S28" s="670"/>
    </row>
    <row r="29" spans="2:19">
      <c r="B29" s="520" t="s">
        <v>274</v>
      </c>
      <c r="C29" s="520"/>
      <c r="D29" s="515">
        <f>'Income Statement'!P27*'Drive Hours Recap'!E24</f>
        <v>0</v>
      </c>
      <c r="E29" s="515">
        <f>'Income Statement'!R27*'Drive Hours Recap'!E24</f>
        <v>0</v>
      </c>
      <c r="F29" s="515">
        <f t="shared" si="9"/>
        <v>0</v>
      </c>
      <c r="G29" s="515">
        <v>0</v>
      </c>
      <c r="H29" s="516">
        <f t="shared" si="10"/>
        <v>0</v>
      </c>
      <c r="I29" s="606"/>
      <c r="J29" s="652">
        <f>'Total Hrs'!$C$43</f>
        <v>0.59919028340080971</v>
      </c>
      <c r="K29" s="674">
        <f t="shared" si="11"/>
        <v>0</v>
      </c>
      <c r="L29" s="579"/>
      <c r="M29" s="516">
        <f t="shared" si="12"/>
        <v>0</v>
      </c>
      <c r="O29" s="668">
        <f t="shared" si="3"/>
        <v>0</v>
      </c>
      <c r="P29" s="668">
        <f>'Recycling Adj.'!H29</f>
        <v>0</v>
      </c>
      <c r="Q29" s="669">
        <f t="shared" si="4"/>
        <v>0</v>
      </c>
      <c r="R29" s="668"/>
      <c r="S29" s="670"/>
    </row>
    <row r="30" spans="2:19">
      <c r="B30" s="520" t="s">
        <v>275</v>
      </c>
      <c r="C30" s="520"/>
      <c r="D30" s="515">
        <f>'Income Statement'!P28*'Drive Hours Recap'!E24</f>
        <v>0</v>
      </c>
      <c r="E30" s="515">
        <f>'Income Statement'!T28*'Drive Hours Recap'!E24</f>
        <v>0</v>
      </c>
      <c r="F30" s="515">
        <f t="shared" si="9"/>
        <v>0</v>
      </c>
      <c r="G30" s="515">
        <v>0</v>
      </c>
      <c r="H30" s="516">
        <f t="shared" si="10"/>
        <v>0</v>
      </c>
      <c r="I30" s="623">
        <f>'Cando 2019'!N47</f>
        <v>21600</v>
      </c>
      <c r="J30" s="652">
        <f>'Total Hrs'!$C$43</f>
        <v>0.59919028340080971</v>
      </c>
      <c r="K30" s="674">
        <f t="shared" si="11"/>
        <v>12942.51012145749</v>
      </c>
      <c r="L30" s="579"/>
      <c r="M30" s="516">
        <f t="shared" si="12"/>
        <v>12942.51012145749</v>
      </c>
      <c r="O30" s="668">
        <f t="shared" si="3"/>
        <v>0</v>
      </c>
      <c r="P30" s="668">
        <f>'Recycling Adj.'!H30</f>
        <v>0</v>
      </c>
      <c r="Q30" s="669">
        <f t="shared" si="4"/>
        <v>0</v>
      </c>
      <c r="R30" s="668">
        <f>'Income Statement'!T28</f>
        <v>0</v>
      </c>
      <c r="S30" s="671">
        <f>Q30-R30</f>
        <v>0</v>
      </c>
    </row>
    <row r="31" spans="2:19">
      <c r="B31" s="520" t="s">
        <v>276</v>
      </c>
      <c r="C31" s="520"/>
      <c r="D31" s="515">
        <f>'Income Statement'!R29*'Drive Hours Recap'!E24</f>
        <v>6917.2060912291108</v>
      </c>
      <c r="E31" s="515"/>
      <c r="F31" s="515">
        <f t="shared" si="9"/>
        <v>6917.2060912291108</v>
      </c>
      <c r="G31" s="517">
        <f>(H26+H45)*'Income Statement'!$N$57-F31</f>
        <v>-189.81415364759323</v>
      </c>
      <c r="H31" s="518">
        <f t="shared" si="10"/>
        <v>6727.3919375815176</v>
      </c>
      <c r="I31" s="623">
        <f>'Cando 2019'!N49</f>
        <v>15040.0159064</v>
      </c>
      <c r="J31" s="652">
        <f>'Total Hrs'!$C$43</f>
        <v>0.59919028340080971</v>
      </c>
      <c r="K31" s="674">
        <f t="shared" si="11"/>
        <v>9011.831393308501</v>
      </c>
      <c r="L31" s="579"/>
      <c r="M31" s="516">
        <f t="shared" si="12"/>
        <v>9011.831393308501</v>
      </c>
      <c r="O31" s="668">
        <f t="shared" si="3"/>
        <v>6727.3919375815176</v>
      </c>
      <c r="P31" s="668">
        <f>'Recycling Adj.'!H31</f>
        <v>3024.1695884804603</v>
      </c>
      <c r="Q31" s="669">
        <f t="shared" si="4"/>
        <v>9751.5615260619779</v>
      </c>
      <c r="R31" s="668">
        <f>'Income Statement'!T29</f>
        <v>9571.4011565006513</v>
      </c>
      <c r="S31" s="671">
        <f>Q31-R31</f>
        <v>180.16036956132666</v>
      </c>
    </row>
    <row r="32" spans="2:19">
      <c r="B32" s="520" t="s">
        <v>277</v>
      </c>
      <c r="C32" s="520"/>
      <c r="D32" s="515">
        <f>'Income Statement'!P30*'Drive Hours Recap'!E24</f>
        <v>281.85114503816794</v>
      </c>
      <c r="E32" s="515">
        <f>'Income Statement'!Q30*'Drive Hours Recap'!E24</f>
        <v>-147.26078292331812</v>
      </c>
      <c r="F32" s="515">
        <f t="shared" si="9"/>
        <v>134.59036211484982</v>
      </c>
      <c r="G32" s="515">
        <v>0</v>
      </c>
      <c r="H32" s="516">
        <f t="shared" si="10"/>
        <v>134.59036211484982</v>
      </c>
      <c r="I32" s="606"/>
      <c r="J32" s="652">
        <f>'Total Hrs'!$C$43</f>
        <v>0.59919028340080971</v>
      </c>
      <c r="K32" s="674">
        <f t="shared" si="11"/>
        <v>0</v>
      </c>
      <c r="L32" s="579"/>
      <c r="M32" s="516">
        <f t="shared" si="12"/>
        <v>0</v>
      </c>
      <c r="O32" s="668">
        <f t="shared" si="3"/>
        <v>134.59036211484982</v>
      </c>
      <c r="P32" s="668">
        <f>'Recycling Adj.'!H32</f>
        <v>51.64354946880993</v>
      </c>
      <c r="Q32" s="669">
        <f t="shared" si="4"/>
        <v>186.23391158365976</v>
      </c>
      <c r="R32" s="668"/>
      <c r="S32" s="670"/>
    </row>
    <row r="33" spans="2:19">
      <c r="B33" s="520" t="s">
        <v>278</v>
      </c>
      <c r="C33" s="520"/>
      <c r="D33" s="515">
        <f>'Income Statement'!P31</f>
        <v>6962.86</v>
      </c>
      <c r="E33" s="517">
        <f>-'Income Statement'!P31*'Drive Hours Recap'!L32</f>
        <v>-3324.9247528446181</v>
      </c>
      <c r="F33" s="517">
        <f t="shared" si="9"/>
        <v>3637.9352471553816</v>
      </c>
      <c r="G33" s="517">
        <f>F33*'Drive Hours Recap'!E24-F33</f>
        <v>-1008.8167471926772</v>
      </c>
      <c r="H33" s="518">
        <f t="shared" si="10"/>
        <v>2629.1184999627044</v>
      </c>
      <c r="I33" s="616">
        <f>'Cando 2019'!N55</f>
        <v>11700</v>
      </c>
      <c r="J33" s="652">
        <f>'Total Hrs'!$C$43</f>
        <v>0.59919028340080971</v>
      </c>
      <c r="K33" s="674">
        <f t="shared" si="11"/>
        <v>7010.5263157894733</v>
      </c>
      <c r="L33" s="579"/>
      <c r="M33" s="516">
        <f t="shared" si="12"/>
        <v>7010.5263157894733</v>
      </c>
      <c r="O33" s="668">
        <f t="shared" si="3"/>
        <v>2629.1184999627044</v>
      </c>
      <c r="P33" s="668">
        <f>'Recycling Adj.'!H33</f>
        <v>1008.8167471926768</v>
      </c>
      <c r="Q33" s="669">
        <f t="shared" si="4"/>
        <v>3637.9352471553811</v>
      </c>
      <c r="R33" s="668">
        <f>'Income Statement'!T31</f>
        <v>3324.9247528446176</v>
      </c>
      <c r="S33" s="671">
        <f t="shared" ref="S33:S35" si="13">Q33-R33</f>
        <v>313.01049431076353</v>
      </c>
    </row>
    <row r="34" spans="2:19">
      <c r="B34" s="520" t="s">
        <v>279</v>
      </c>
      <c r="C34" s="520"/>
      <c r="D34" s="515">
        <f>'Income Statement'!P32*'Drive Hours Recap'!E24</f>
        <v>10166.905596007047</v>
      </c>
      <c r="E34" s="515">
        <f>F34-D34</f>
        <v>-5311.9758579398895</v>
      </c>
      <c r="F34" s="515">
        <f>'Income Statement'!R32*'Drive Hours Recap'!E24</f>
        <v>4854.9297380671578</v>
      </c>
      <c r="G34" s="515">
        <v>0</v>
      </c>
      <c r="H34" s="516">
        <f t="shared" si="10"/>
        <v>4854.9297380671578</v>
      </c>
      <c r="I34" s="616">
        <f>'Cando 2019'!N56</f>
        <v>9120</v>
      </c>
      <c r="J34" s="652">
        <f>'Total Hrs'!$C$43</f>
        <v>0.59919028340080971</v>
      </c>
      <c r="K34" s="674">
        <f t="shared" si="11"/>
        <v>5464.6153846153848</v>
      </c>
      <c r="L34" s="579"/>
      <c r="M34" s="516">
        <f t="shared" si="12"/>
        <v>5464.6153846153848</v>
      </c>
      <c r="O34" s="668">
        <f t="shared" si="3"/>
        <v>4854.9297380671578</v>
      </c>
      <c r="P34" s="668">
        <f>'Recycling Adj.'!H34</f>
        <v>1862.8808196646071</v>
      </c>
      <c r="Q34" s="669">
        <f t="shared" si="4"/>
        <v>6717.8105577317647</v>
      </c>
      <c r="R34" s="668">
        <f>'Income Statement'!T32</f>
        <v>6717.8105577317656</v>
      </c>
      <c r="S34" s="671">
        <f t="shared" si="13"/>
        <v>0</v>
      </c>
    </row>
    <row r="35" spans="2:19">
      <c r="B35" s="520" t="s">
        <v>280</v>
      </c>
      <c r="C35" s="520"/>
      <c r="D35" s="517">
        <f>'Income Statement'!P33</f>
        <v>8133.5499999999993</v>
      </c>
      <c r="E35" s="517">
        <f>'Income Statement'!Q33</f>
        <v>-4249.5940216377548</v>
      </c>
      <c r="F35" s="517">
        <f t="shared" si="9"/>
        <v>3883.9559783622444</v>
      </c>
      <c r="G35" s="517">
        <f>F35*'Drive Hours Recap'!E24-F35</f>
        <v>-1077.0394661077921</v>
      </c>
      <c r="H35" s="518">
        <f t="shared" si="10"/>
        <v>2806.9165122544523</v>
      </c>
      <c r="I35" s="616">
        <f>'Cando 2019'!N57</f>
        <v>3600</v>
      </c>
      <c r="J35" s="652">
        <f>'Total Hrs'!$C$43</f>
        <v>0.59919028340080971</v>
      </c>
      <c r="K35" s="674">
        <f t="shared" si="11"/>
        <v>2157.0850202429151</v>
      </c>
      <c r="L35" s="579"/>
      <c r="M35" s="516">
        <f t="shared" si="12"/>
        <v>2157.0850202429151</v>
      </c>
      <c r="O35" s="668">
        <f t="shared" si="3"/>
        <v>2806.9165122544523</v>
      </c>
      <c r="P35" s="668">
        <f>'Recycling Adj.'!H35</f>
        <v>1077.0394661077917</v>
      </c>
      <c r="Q35" s="669">
        <f t="shared" si="4"/>
        <v>3883.955978362244</v>
      </c>
      <c r="R35" s="668">
        <f>'Income Statement'!T33</f>
        <v>3883.9559783622444</v>
      </c>
      <c r="S35" s="671">
        <f t="shared" si="13"/>
        <v>0</v>
      </c>
    </row>
    <row r="36" spans="2:19">
      <c r="B36" s="520" t="s">
        <v>281</v>
      </c>
      <c r="C36" s="520"/>
      <c r="D36" s="515">
        <f>'Income Statement'!P34*'Drive Hours Recap'!E24</f>
        <v>0</v>
      </c>
      <c r="E36" s="515">
        <f>'Income Statement'!Q34*'Drive Hours Recap'!$E$24</f>
        <v>0</v>
      </c>
      <c r="F36" s="515">
        <f t="shared" si="9"/>
        <v>0</v>
      </c>
      <c r="G36" s="515">
        <v>0</v>
      </c>
      <c r="H36" s="516">
        <f t="shared" si="10"/>
        <v>0</v>
      </c>
      <c r="I36" s="606"/>
      <c r="J36" s="652">
        <f>'Total Hrs'!$C$43</f>
        <v>0.59919028340080971</v>
      </c>
      <c r="K36" s="674">
        <f t="shared" si="11"/>
        <v>0</v>
      </c>
      <c r="L36" s="579"/>
      <c r="M36" s="516">
        <f t="shared" si="12"/>
        <v>0</v>
      </c>
      <c r="O36" s="668">
        <f t="shared" si="3"/>
        <v>0</v>
      </c>
      <c r="P36" s="668">
        <f>'Recycling Adj.'!H36</f>
        <v>0</v>
      </c>
      <c r="Q36" s="669">
        <f t="shared" si="4"/>
        <v>0</v>
      </c>
      <c r="R36" s="668"/>
      <c r="S36" s="670"/>
    </row>
    <row r="37" spans="2:19">
      <c r="B37" s="520" t="s">
        <v>282</v>
      </c>
      <c r="C37" s="520"/>
      <c r="D37" s="515">
        <f>'Income Statement'!P35*'Drive Hours Recap'!E24</f>
        <v>0</v>
      </c>
      <c r="E37" s="515">
        <f>'Income Statement'!Q35*'Drive Hours Recap'!$E$24</f>
        <v>0</v>
      </c>
      <c r="F37" s="515">
        <f t="shared" si="9"/>
        <v>0</v>
      </c>
      <c r="G37" s="515">
        <v>0</v>
      </c>
      <c r="H37" s="516">
        <f t="shared" si="10"/>
        <v>0</v>
      </c>
      <c r="I37" s="606"/>
      <c r="J37" s="652">
        <f>'Total Hrs'!$C$43</f>
        <v>0.59919028340080971</v>
      </c>
      <c r="K37" s="674">
        <f t="shared" si="11"/>
        <v>0</v>
      </c>
      <c r="L37" s="579"/>
      <c r="M37" s="516">
        <f t="shared" si="12"/>
        <v>0</v>
      </c>
      <c r="O37" s="668">
        <f t="shared" si="3"/>
        <v>0</v>
      </c>
      <c r="P37" s="668">
        <f>'Recycling Adj.'!H37</f>
        <v>0</v>
      </c>
      <c r="Q37" s="669">
        <f t="shared" si="4"/>
        <v>0</v>
      </c>
      <c r="R37" s="668"/>
      <c r="S37" s="670"/>
    </row>
    <row r="38" spans="2:19">
      <c r="B38" s="520" t="s">
        <v>283</v>
      </c>
      <c r="C38" s="520"/>
      <c r="D38" s="515">
        <f>'Income Statement'!P36*'Drive Hours Recap'!E24</f>
        <v>14815.975190839694</v>
      </c>
      <c r="E38" s="517">
        <f>Assets!M39-'Garbage Adj.'!D38</f>
        <v>-6750.7541730498688</v>
      </c>
      <c r="F38" s="517">
        <f>D38+E38</f>
        <v>8065.2210177898251</v>
      </c>
      <c r="G38" s="517">
        <f>Assets!M39-'Garbage Adj.'!F38</f>
        <v>0</v>
      </c>
      <c r="H38" s="518">
        <f t="shared" si="10"/>
        <v>8065.2210177898251</v>
      </c>
      <c r="I38" s="617">
        <f>'Cando 2019'!N54</f>
        <v>24000</v>
      </c>
      <c r="J38" s="652">
        <f>'Total Hrs'!$C$43</f>
        <v>0.59919028340080971</v>
      </c>
      <c r="K38" s="674">
        <f t="shared" si="11"/>
        <v>14380.566801619432</v>
      </c>
      <c r="L38" s="579">
        <f>Assets!M43-K38+H38</f>
        <v>7484.088789511814</v>
      </c>
      <c r="M38" s="516">
        <f t="shared" si="12"/>
        <v>21864.655591131246</v>
      </c>
      <c r="O38" s="668">
        <f t="shared" si="3"/>
        <v>8065.2210177898251</v>
      </c>
      <c r="P38" s="668">
        <f>'Recycling Adj.'!H38</f>
        <v>4513.9240102792974</v>
      </c>
      <c r="Q38" s="669">
        <f t="shared" si="4"/>
        <v>12579.145028069122</v>
      </c>
      <c r="R38" s="668">
        <f>'Income Statement'!T36</f>
        <v>12579.145028069122</v>
      </c>
      <c r="S38" s="671">
        <f>Q38-R38</f>
        <v>0</v>
      </c>
    </row>
    <row r="39" spans="2:19">
      <c r="B39" s="520" t="s">
        <v>284</v>
      </c>
      <c r="C39" s="520"/>
      <c r="D39" s="515">
        <f>'Income Statement'!P37*'Drive Hours Recap'!E24</f>
        <v>0</v>
      </c>
      <c r="E39" s="515">
        <f>'Income Statement'!Q37*'Drive Hours Recap'!$E$24</f>
        <v>0</v>
      </c>
      <c r="F39" s="515">
        <f t="shared" si="9"/>
        <v>0</v>
      </c>
      <c r="G39" s="515">
        <v>0</v>
      </c>
      <c r="H39" s="516">
        <f t="shared" si="10"/>
        <v>0</v>
      </c>
      <c r="I39" s="606"/>
      <c r="J39" s="652">
        <f>'Total Hrs'!$C$43</f>
        <v>0.59919028340080971</v>
      </c>
      <c r="K39" s="674">
        <f t="shared" si="11"/>
        <v>0</v>
      </c>
      <c r="L39" s="579"/>
      <c r="M39" s="516">
        <f t="shared" si="12"/>
        <v>0</v>
      </c>
      <c r="O39" s="668">
        <f t="shared" si="3"/>
        <v>0</v>
      </c>
      <c r="P39" s="668">
        <f>'Recycling Adj.'!H39</f>
        <v>0</v>
      </c>
      <c r="Q39" s="669">
        <f t="shared" si="4"/>
        <v>0</v>
      </c>
      <c r="R39" s="668"/>
      <c r="S39" s="670"/>
    </row>
    <row r="40" spans="2:19">
      <c r="B40" s="520" t="s">
        <v>285</v>
      </c>
      <c r="C40" s="520"/>
      <c r="D40" s="515">
        <f>'Income Statement'!P38*'Drive Hours Recap'!E24</f>
        <v>0</v>
      </c>
      <c r="E40" s="515">
        <f>'Income Statement'!Q38*'Drive Hours Recap'!$E$24</f>
        <v>0</v>
      </c>
      <c r="F40" s="515">
        <f t="shared" si="9"/>
        <v>0</v>
      </c>
      <c r="G40" s="515">
        <v>0</v>
      </c>
      <c r="H40" s="516">
        <f t="shared" si="10"/>
        <v>0</v>
      </c>
      <c r="I40" s="619">
        <f>'Cando 2019'!N66</f>
        <v>15600</v>
      </c>
      <c r="J40" s="652">
        <f>'Total Hrs'!$C$43</f>
        <v>0.59919028340080971</v>
      </c>
      <c r="K40" s="674">
        <f t="shared" si="11"/>
        <v>9347.3684210526317</v>
      </c>
      <c r="L40" s="579">
        <f>-K40</f>
        <v>-9347.3684210526317</v>
      </c>
      <c r="M40" s="516">
        <f t="shared" si="12"/>
        <v>0</v>
      </c>
      <c r="O40" s="668">
        <f t="shared" si="3"/>
        <v>0</v>
      </c>
      <c r="P40" s="668">
        <f>'Recycling Adj.'!H40</f>
        <v>0</v>
      </c>
      <c r="Q40" s="669">
        <f t="shared" si="4"/>
        <v>0</v>
      </c>
      <c r="R40" s="668"/>
      <c r="S40" s="670"/>
    </row>
    <row r="41" spans="2:19">
      <c r="B41" s="520" t="s">
        <v>286</v>
      </c>
      <c r="C41" s="520"/>
      <c r="D41" s="515">
        <f>'Income Statement'!P39*'Drive Hours Recap'!E24</f>
        <v>0</v>
      </c>
      <c r="E41" s="515">
        <f>'Income Statement'!Q39*'Drive Hours Recap'!$E$24</f>
        <v>0</v>
      </c>
      <c r="F41" s="515">
        <f t="shared" si="9"/>
        <v>0</v>
      </c>
      <c r="G41" s="515">
        <v>0</v>
      </c>
      <c r="H41" s="516">
        <f t="shared" si="10"/>
        <v>0</v>
      </c>
      <c r="I41" s="606"/>
      <c r="J41" s="652">
        <f>'Total Hrs'!$C$43</f>
        <v>0.59919028340080971</v>
      </c>
      <c r="K41" s="674">
        <f t="shared" si="11"/>
        <v>0</v>
      </c>
      <c r="L41" s="579"/>
      <c r="M41" s="516">
        <f t="shared" si="12"/>
        <v>0</v>
      </c>
      <c r="O41" s="668">
        <f t="shared" si="3"/>
        <v>0</v>
      </c>
      <c r="P41" s="668">
        <f>'Recycling Adj.'!H41</f>
        <v>0</v>
      </c>
      <c r="Q41" s="669">
        <f t="shared" si="4"/>
        <v>0</v>
      </c>
      <c r="R41" s="668"/>
      <c r="S41" s="670"/>
    </row>
    <row r="42" spans="2:19">
      <c r="B42" s="520"/>
      <c r="C42" s="523" t="s">
        <v>466</v>
      </c>
      <c r="D42" s="515"/>
      <c r="E42" s="515"/>
      <c r="F42" s="515"/>
      <c r="G42" s="515"/>
      <c r="H42" s="516">
        <f t="shared" si="10"/>
        <v>0</v>
      </c>
      <c r="I42" s="606"/>
      <c r="J42" s="652">
        <f>'Total Hrs'!$C$43</f>
        <v>0.59919028340080971</v>
      </c>
      <c r="K42" s="674">
        <f t="shared" si="11"/>
        <v>0</v>
      </c>
      <c r="L42" s="579"/>
      <c r="M42" s="516">
        <f t="shared" si="12"/>
        <v>0</v>
      </c>
      <c r="O42" s="668">
        <f t="shared" si="3"/>
        <v>0</v>
      </c>
      <c r="P42" s="668">
        <f>'Recycling Adj.'!H42</f>
        <v>0</v>
      </c>
      <c r="Q42" s="669">
        <f t="shared" si="4"/>
        <v>0</v>
      </c>
      <c r="R42" s="668"/>
      <c r="S42" s="670"/>
    </row>
    <row r="43" spans="2:19">
      <c r="B43" s="520" t="s">
        <v>287</v>
      </c>
      <c r="C43" s="520"/>
      <c r="D43" s="515">
        <f>'Income Statement'!P40*'Drive Hours Recap'!E24</f>
        <v>0</v>
      </c>
      <c r="E43" s="515">
        <f>'Income Statement'!Q40*'Drive Hours Recap'!$E$24</f>
        <v>0</v>
      </c>
      <c r="F43" s="515">
        <f t="shared" si="9"/>
        <v>0</v>
      </c>
      <c r="G43" s="517">
        <f>F16*0.0051</f>
        <v>1030.0082400000001</v>
      </c>
      <c r="H43" s="518">
        <f t="shared" si="10"/>
        <v>1030.0082400000001</v>
      </c>
      <c r="I43" s="614">
        <f>'Cando 2019'!N22</f>
        <v>5400</v>
      </c>
      <c r="J43" s="652">
        <f>'Total Hrs'!$C$43</f>
        <v>0.59919028340080971</v>
      </c>
      <c r="K43" s="674">
        <f t="shared" si="11"/>
        <v>3235.6275303643724</v>
      </c>
      <c r="L43" s="579">
        <f ca="1">M16*'Current Garbage LG 2018'!C12-'Garbage Adj.'!K43</f>
        <v>-875.55585453827143</v>
      </c>
      <c r="M43" s="516">
        <f t="shared" ca="1" si="12"/>
        <v>2360.071675826101</v>
      </c>
      <c r="O43" s="668">
        <f t="shared" si="3"/>
        <v>1030.0082400000001</v>
      </c>
      <c r="P43" s="668">
        <f>'Recycling Adj.'!H43</f>
        <v>96.469101000000052</v>
      </c>
      <c r="Q43" s="669">
        <f t="shared" si="4"/>
        <v>1126.4773410000003</v>
      </c>
      <c r="R43" s="668">
        <f>'Income Statement'!T40</f>
        <v>1126.4798400000002</v>
      </c>
      <c r="S43" s="671">
        <f t="shared" ref="S43:S46" si="14">Q43-R43</f>
        <v>-2.4989999999434076E-3</v>
      </c>
    </row>
    <row r="44" spans="2:19">
      <c r="B44" s="520" t="s">
        <v>288</v>
      </c>
      <c r="C44" s="520"/>
      <c r="D44" s="515">
        <f>'Income Statement'!R41*'Drive Hours Recap'!E24</f>
        <v>6696.0775773093401</v>
      </c>
      <c r="E44" s="515">
        <f>'Income Statement'!Q41*'Drive Hours Recap'!$E$24</f>
        <v>-7326.4505054857282</v>
      </c>
      <c r="F44" s="517">
        <f t="shared" si="9"/>
        <v>-630.37292817638809</v>
      </c>
      <c r="G44" s="517">
        <f>0.015*F16-F44</f>
        <v>3659.8089281763882</v>
      </c>
      <c r="H44" s="518">
        <f t="shared" si="10"/>
        <v>3029.4360000000001</v>
      </c>
      <c r="I44" s="622">
        <f>'Cando 2019'!N89</f>
        <v>8568</v>
      </c>
      <c r="J44" s="652">
        <f>'Total Hrs'!$C$43</f>
        <v>0.59919028340080971</v>
      </c>
      <c r="K44" s="674">
        <f t="shared" si="11"/>
        <v>5133.8623481781378</v>
      </c>
      <c r="L44" s="579">
        <f ca="1">M16*'Current Garbage LG 2018'!C11-'Garbage Adj.'!K44</f>
        <v>1807.5249336633342</v>
      </c>
      <c r="M44" s="516">
        <f t="shared" ca="1" si="12"/>
        <v>6941.387281841472</v>
      </c>
      <c r="O44" s="668">
        <f t="shared" si="3"/>
        <v>3029.4360000000001</v>
      </c>
      <c r="P44" s="668">
        <f>'Recycling Adj.'!H44</f>
        <v>283.73265000000015</v>
      </c>
      <c r="Q44" s="669">
        <f t="shared" si="4"/>
        <v>3313.1686500000005</v>
      </c>
      <c r="R44" s="668">
        <f>'Income Statement'!T41</f>
        <v>3313.1760000000004</v>
      </c>
      <c r="S44" s="671">
        <f t="shared" si="14"/>
        <v>-7.3499999998603016E-3</v>
      </c>
    </row>
    <row r="45" spans="2:19">
      <c r="B45" s="520" t="s">
        <v>289</v>
      </c>
      <c r="C45" s="520"/>
      <c r="D45" s="515">
        <f>'Income Statement'!P42*'Drive Hours Recap'!E24</f>
        <v>0</v>
      </c>
      <c r="E45" s="515">
        <f>'Income Statement'!Q42*'Drive Hours Recap'!$E$24</f>
        <v>24851.735396278058</v>
      </c>
      <c r="F45" s="515">
        <f t="shared" si="9"/>
        <v>24851.735396278058</v>
      </c>
      <c r="G45" s="517"/>
      <c r="H45" s="518">
        <f t="shared" si="10"/>
        <v>24851.735396278058</v>
      </c>
      <c r="I45" s="605"/>
      <c r="J45" s="652">
        <f>'Total Hrs'!$C$43</f>
        <v>0.59919028340080971</v>
      </c>
      <c r="K45" s="674">
        <f t="shared" si="11"/>
        <v>0</v>
      </c>
      <c r="L45" s="579"/>
      <c r="M45" s="516">
        <f t="shared" si="12"/>
        <v>0</v>
      </c>
      <c r="O45" s="668">
        <f t="shared" si="3"/>
        <v>24851.735396278058</v>
      </c>
      <c r="P45" s="668">
        <f>'Recycling Adj.'!H45</f>
        <v>9535.83753068642</v>
      </c>
      <c r="Q45" s="669">
        <f t="shared" si="4"/>
        <v>34387.57292696448</v>
      </c>
      <c r="R45" s="668">
        <f>'Income Statement'!T42</f>
        <v>34387.57292696448</v>
      </c>
      <c r="S45" s="671">
        <f t="shared" si="14"/>
        <v>0</v>
      </c>
    </row>
    <row r="46" spans="2:19">
      <c r="B46" s="520" t="s">
        <v>290</v>
      </c>
      <c r="C46" s="520"/>
      <c r="D46" s="515">
        <f>'Income Statement'!P43*'Drive Hours Recap'!E24</f>
        <v>1792.2842043452729</v>
      </c>
      <c r="E46" s="515">
        <f>'Income Statement'!Q43*'Drive Hours Recap'!$E$24</f>
        <v>-936.42754269186912</v>
      </c>
      <c r="F46" s="515">
        <f t="shared" si="9"/>
        <v>855.85666165340376</v>
      </c>
      <c r="G46" s="515">
        <v>0</v>
      </c>
      <c r="H46" s="516">
        <f t="shared" si="10"/>
        <v>855.85666165340376</v>
      </c>
      <c r="I46" s="613">
        <f>'Cando 2019'!N14</f>
        <v>3000</v>
      </c>
      <c r="J46" s="652">
        <f>'Total Hrs'!$C$43</f>
        <v>0.59919028340080971</v>
      </c>
      <c r="K46" s="674">
        <f t="shared" si="11"/>
        <v>1797.570850202429</v>
      </c>
      <c r="L46" s="579"/>
      <c r="M46" s="516">
        <f t="shared" si="12"/>
        <v>1797.570850202429</v>
      </c>
      <c r="O46" s="668">
        <f t="shared" si="3"/>
        <v>855.85666165340376</v>
      </c>
      <c r="P46" s="668">
        <f>'Recycling Adj.'!H46</f>
        <v>328.40000687858617</v>
      </c>
      <c r="Q46" s="669">
        <f t="shared" si="4"/>
        <v>1184.2566685319898</v>
      </c>
      <c r="R46" s="668">
        <f>'Income Statement'!T43</f>
        <v>1184.25666853199</v>
      </c>
      <c r="S46" s="671">
        <f t="shared" si="14"/>
        <v>0</v>
      </c>
    </row>
    <row r="47" spans="2:19">
      <c r="B47" s="520"/>
      <c r="C47" s="523"/>
      <c r="D47" s="515"/>
      <c r="E47" s="515"/>
      <c r="F47" s="515"/>
      <c r="G47" s="515"/>
      <c r="H47" s="516"/>
      <c r="I47" s="601"/>
      <c r="J47" s="652">
        <f>'Total Hrs'!$C$43</f>
        <v>0.59919028340080971</v>
      </c>
      <c r="K47" s="674">
        <f t="shared" si="11"/>
        <v>0</v>
      </c>
      <c r="M47" s="516">
        <f t="shared" si="12"/>
        <v>0</v>
      </c>
      <c r="O47" s="668">
        <f t="shared" si="3"/>
        <v>0</v>
      </c>
      <c r="P47" s="668">
        <f>'Recycling Adj.'!H47</f>
        <v>0</v>
      </c>
      <c r="Q47" s="669">
        <f t="shared" si="4"/>
        <v>0</v>
      </c>
      <c r="R47" s="668"/>
      <c r="S47" s="670"/>
    </row>
    <row r="48" spans="2:19">
      <c r="B48" s="520" t="s">
        <v>291</v>
      </c>
      <c r="C48" s="520"/>
      <c r="D48" s="515">
        <f>'Income Statement'!P44*'Drive Hours Recap'!E24</f>
        <v>0</v>
      </c>
      <c r="E48" s="515">
        <f>'Income Statement'!Q44*'Drive Hours Recap'!$E$24</f>
        <v>0</v>
      </c>
      <c r="F48" s="515">
        <f t="shared" si="9"/>
        <v>0</v>
      </c>
      <c r="G48" s="515">
        <v>0</v>
      </c>
      <c r="H48" s="516">
        <f t="shared" si="10"/>
        <v>0</v>
      </c>
      <c r="I48" s="606"/>
      <c r="J48" s="652">
        <f>'Total Hrs'!$C$43</f>
        <v>0.59919028340080971</v>
      </c>
      <c r="K48" s="674">
        <f t="shared" si="11"/>
        <v>0</v>
      </c>
      <c r="L48" s="579"/>
      <c r="M48" s="516">
        <f t="shared" si="12"/>
        <v>0</v>
      </c>
      <c r="O48" s="668">
        <f t="shared" si="3"/>
        <v>0</v>
      </c>
      <c r="P48" s="668">
        <f>'Recycling Adj.'!H48</f>
        <v>0</v>
      </c>
      <c r="Q48" s="669">
        <f t="shared" si="4"/>
        <v>0</v>
      </c>
      <c r="R48" s="668"/>
      <c r="S48" s="670"/>
    </row>
    <row r="49" spans="2:19">
      <c r="B49" s="520" t="s">
        <v>335</v>
      </c>
      <c r="D49" s="515"/>
      <c r="E49" s="515"/>
      <c r="F49" s="515">
        <f t="shared" si="9"/>
        <v>0</v>
      </c>
      <c r="G49" s="515"/>
      <c r="H49" s="516">
        <f t="shared" si="10"/>
        <v>0</v>
      </c>
      <c r="I49" s="613">
        <f>'Cando 2019'!N16</f>
        <v>2100</v>
      </c>
      <c r="J49" s="652">
        <f>'Total Hrs'!$C$43</f>
        <v>0.59919028340080971</v>
      </c>
      <c r="K49" s="674">
        <f t="shared" si="11"/>
        <v>1258.2995951417004</v>
      </c>
      <c r="L49" s="579"/>
      <c r="M49" s="516">
        <f t="shared" si="12"/>
        <v>1258.2995951417004</v>
      </c>
      <c r="O49" s="668">
        <f t="shared" si="3"/>
        <v>0</v>
      </c>
      <c r="P49" s="668">
        <f>'Recycling Adj.'!H49</f>
        <v>0</v>
      </c>
      <c r="Q49" s="669">
        <f t="shared" si="4"/>
        <v>0</v>
      </c>
      <c r="R49" s="668"/>
      <c r="S49" s="670"/>
    </row>
    <row r="50" spans="2:19">
      <c r="B50" s="520" t="s">
        <v>292</v>
      </c>
      <c r="C50" s="520"/>
      <c r="D50" s="515">
        <f>'Income Statement'!P45*'Drive Hours Recap'!E24</f>
        <v>3105.7828097475044</v>
      </c>
      <c r="E50" s="515">
        <f>'Income Statement'!Q45*'Drive Hours Recap'!$E$24</f>
        <v>-1622.7005502896402</v>
      </c>
      <c r="F50" s="515">
        <f t="shared" si="9"/>
        <v>1483.0822594578642</v>
      </c>
      <c r="G50" s="515">
        <v>0</v>
      </c>
      <c r="H50" s="516">
        <f t="shared" si="10"/>
        <v>1483.0822594578642</v>
      </c>
      <c r="I50" s="613">
        <f>'Cando 2019'!N18</f>
        <v>3000</v>
      </c>
      <c r="J50" s="652">
        <f>'Total Hrs'!$C$43</f>
        <v>0.59919028340080971</v>
      </c>
      <c r="K50" s="674">
        <f t="shared" si="11"/>
        <v>1797.570850202429</v>
      </c>
      <c r="L50" s="579"/>
      <c r="M50" s="516">
        <f t="shared" si="12"/>
        <v>1797.570850202429</v>
      </c>
      <c r="O50" s="668">
        <f t="shared" si="3"/>
        <v>1483.0822594578642</v>
      </c>
      <c r="P50" s="668">
        <f>'Recycling Adj.'!H50</f>
        <v>569.07218933900174</v>
      </c>
      <c r="Q50" s="669">
        <f t="shared" si="4"/>
        <v>2052.1544487968658</v>
      </c>
      <c r="R50" s="668">
        <f>'Income Statement'!T45</f>
        <v>2052.1544487968658</v>
      </c>
      <c r="S50" s="671">
        <f>Q50-R50</f>
        <v>0</v>
      </c>
    </row>
    <row r="51" spans="2:19">
      <c r="B51" s="520"/>
      <c r="C51" s="520"/>
      <c r="D51" s="515"/>
      <c r="E51" s="515"/>
      <c r="F51" s="515"/>
      <c r="G51" s="515"/>
      <c r="H51" s="516"/>
      <c r="I51" s="601"/>
      <c r="J51" s="652">
        <f>'Total Hrs'!$C$43</f>
        <v>0.59919028340080971</v>
      </c>
      <c r="K51" s="674">
        <f t="shared" si="11"/>
        <v>0</v>
      </c>
      <c r="M51" s="516">
        <f t="shared" si="12"/>
        <v>0</v>
      </c>
      <c r="O51" s="668">
        <f t="shared" si="3"/>
        <v>0</v>
      </c>
      <c r="P51" s="668">
        <f>'Recycling Adj.'!H51</f>
        <v>0</v>
      </c>
      <c r="Q51" s="669">
        <f t="shared" si="4"/>
        <v>0</v>
      </c>
      <c r="R51" s="668"/>
      <c r="S51" s="670"/>
    </row>
    <row r="52" spans="2:19">
      <c r="B52" s="520" t="s">
        <v>293</v>
      </c>
      <c r="C52" s="520"/>
      <c r="D52" s="515">
        <f>'Income Statement'!P46*'Drive Hours Recap'!E24</f>
        <v>2624.279876688197</v>
      </c>
      <c r="E52" s="515">
        <f>'Income Statement'!Q46*'Drive Hours Recap'!$E$24</f>
        <v>-1371.1262702114607</v>
      </c>
      <c r="F52" s="515">
        <f t="shared" si="9"/>
        <v>1253.1536064767363</v>
      </c>
      <c r="G52" s="515">
        <v>0</v>
      </c>
      <c r="H52" s="516">
        <f t="shared" si="10"/>
        <v>1253.1536064767363</v>
      </c>
      <c r="I52" s="606"/>
      <c r="J52" s="652">
        <f>'Total Hrs'!$C$43</f>
        <v>0.59919028340080971</v>
      </c>
      <c r="K52" s="674">
        <f t="shared" si="11"/>
        <v>0</v>
      </c>
      <c r="L52" s="579"/>
      <c r="M52" s="516">
        <f t="shared" si="12"/>
        <v>0</v>
      </c>
      <c r="O52" s="668">
        <f t="shared" si="3"/>
        <v>1253.1536064767363</v>
      </c>
      <c r="P52" s="668">
        <f>'Recycling Adj.'!H52</f>
        <v>480.84646813620861</v>
      </c>
      <c r="Q52" s="669">
        <f t="shared" si="4"/>
        <v>1734.0000746129449</v>
      </c>
      <c r="R52" s="668">
        <f>'Income Statement'!T46</f>
        <v>1734.0000746129449</v>
      </c>
      <c r="S52" s="671">
        <f t="shared" ref="S52:S53" si="15">Q52-R52</f>
        <v>0</v>
      </c>
    </row>
    <row r="53" spans="2:19">
      <c r="B53" s="520" t="s">
        <v>294</v>
      </c>
      <c r="C53" s="520"/>
      <c r="D53" s="517">
        <f>'Income Statement'!P47</f>
        <v>32835.390000000007</v>
      </c>
      <c r="E53" s="517">
        <f>'Income Statement'!Q47</f>
        <v>-17155.740979294915</v>
      </c>
      <c r="F53" s="517">
        <f t="shared" si="9"/>
        <v>15679.649020705092</v>
      </c>
      <c r="G53" s="517">
        <f>F53*'Drive Hours Recap'!E24-'Garbage Adj.'!F53</f>
        <v>-4348.0412507504298</v>
      </c>
      <c r="H53" s="518">
        <f t="shared" si="10"/>
        <v>11331.607769954662</v>
      </c>
      <c r="I53" s="613">
        <f>'Cando 2019'!N24</f>
        <v>1800</v>
      </c>
      <c r="J53" s="652">
        <f>'Total Hrs'!$C$43</f>
        <v>0.59919028340080971</v>
      </c>
      <c r="K53" s="674">
        <f t="shared" si="11"/>
        <v>1078.5425101214576</v>
      </c>
      <c r="L53" s="579"/>
      <c r="M53" s="516">
        <f t="shared" si="12"/>
        <v>1078.5425101214576</v>
      </c>
      <c r="O53" s="668">
        <f t="shared" si="3"/>
        <v>11331.607769954662</v>
      </c>
      <c r="P53" s="668">
        <f>'Recycling Adj.'!H53</f>
        <v>4348.0412507504279</v>
      </c>
      <c r="Q53" s="669">
        <f t="shared" si="4"/>
        <v>15679.64902070509</v>
      </c>
      <c r="R53" s="668">
        <f>'Income Statement'!T47</f>
        <v>15679.649020705092</v>
      </c>
      <c r="S53" s="671">
        <f t="shared" si="15"/>
        <v>0</v>
      </c>
    </row>
    <row r="54" spans="2:19">
      <c r="B54" s="520"/>
      <c r="C54" s="520" t="s">
        <v>336</v>
      </c>
      <c r="D54" s="515"/>
      <c r="E54" s="515"/>
      <c r="F54" s="515">
        <f t="shared" si="9"/>
        <v>0</v>
      </c>
      <c r="G54" s="515"/>
      <c r="H54" s="516">
        <f t="shared" si="10"/>
        <v>0</v>
      </c>
      <c r="I54" s="613">
        <f>'Cando 2019'!N17</f>
        <v>5400</v>
      </c>
      <c r="J54" s="652">
        <f>'Total Hrs'!$C$43</f>
        <v>0.59919028340080971</v>
      </c>
      <c r="K54" s="674">
        <f t="shared" si="11"/>
        <v>3235.6275303643724</v>
      </c>
      <c r="L54" s="579"/>
      <c r="M54" s="516">
        <f t="shared" si="12"/>
        <v>3235.6275303643724</v>
      </c>
      <c r="O54" s="668">
        <f t="shared" si="3"/>
        <v>0</v>
      </c>
      <c r="P54" s="668">
        <f>'Recycling Adj.'!H54</f>
        <v>0</v>
      </c>
      <c r="Q54" s="669">
        <f t="shared" si="4"/>
        <v>0</v>
      </c>
      <c r="R54" s="668"/>
      <c r="S54" s="670"/>
    </row>
    <row r="55" spans="2:19">
      <c r="B55" s="520"/>
      <c r="C55" s="520" t="s">
        <v>339</v>
      </c>
      <c r="D55" s="515"/>
      <c r="E55" s="515"/>
      <c r="F55" s="515">
        <f t="shared" si="9"/>
        <v>0</v>
      </c>
      <c r="G55" s="515"/>
      <c r="H55" s="516">
        <f t="shared" si="10"/>
        <v>0</v>
      </c>
      <c r="I55" s="613">
        <f>'Cando 2019'!N26</f>
        <v>1800</v>
      </c>
      <c r="J55" s="652">
        <f>'Total Hrs'!$C$43</f>
        <v>0.59919028340080971</v>
      </c>
      <c r="K55" s="674">
        <f t="shared" si="11"/>
        <v>1078.5425101214576</v>
      </c>
      <c r="L55" s="579">
        <v>1000</v>
      </c>
      <c r="M55" s="516">
        <f t="shared" si="12"/>
        <v>2078.5425101214578</v>
      </c>
      <c r="O55" s="668">
        <f t="shared" si="3"/>
        <v>0</v>
      </c>
      <c r="P55" s="668">
        <f>'Recycling Adj.'!H55</f>
        <v>0</v>
      </c>
      <c r="Q55" s="669">
        <f t="shared" si="4"/>
        <v>0</v>
      </c>
      <c r="R55" s="668"/>
      <c r="S55" s="670"/>
    </row>
    <row r="56" spans="2:19">
      <c r="B56" s="520"/>
      <c r="C56" s="520" t="s">
        <v>340</v>
      </c>
      <c r="D56" s="515"/>
      <c r="E56" s="515"/>
      <c r="F56" s="515">
        <f t="shared" si="9"/>
        <v>0</v>
      </c>
      <c r="G56" s="515"/>
      <c r="H56" s="516">
        <f t="shared" si="10"/>
        <v>0</v>
      </c>
      <c r="I56" s="613">
        <f>'Cando 2019'!N27</f>
        <v>2400</v>
      </c>
      <c r="J56" s="652">
        <f>'Total Hrs'!$C$43</f>
        <v>0.59919028340080971</v>
      </c>
      <c r="K56" s="674">
        <f t="shared" si="11"/>
        <v>1438.0566801619434</v>
      </c>
      <c r="L56" s="579"/>
      <c r="M56" s="516">
        <f t="shared" si="12"/>
        <v>1438.0566801619434</v>
      </c>
      <c r="O56" s="668">
        <f t="shared" si="3"/>
        <v>0</v>
      </c>
      <c r="P56" s="668">
        <f>'Recycling Adj.'!H56</f>
        <v>0</v>
      </c>
      <c r="Q56" s="669">
        <f t="shared" si="4"/>
        <v>0</v>
      </c>
      <c r="R56" s="668"/>
      <c r="S56" s="670"/>
    </row>
    <row r="57" spans="2:19">
      <c r="B57" s="520"/>
      <c r="C57" s="520" t="s">
        <v>341</v>
      </c>
      <c r="D57" s="515"/>
      <c r="E57" s="515"/>
      <c r="F57" s="515">
        <f t="shared" si="9"/>
        <v>0</v>
      </c>
      <c r="G57" s="515"/>
      <c r="H57" s="516">
        <f t="shared" si="10"/>
        <v>0</v>
      </c>
      <c r="I57" s="613">
        <f>'Cando 2019'!N30</f>
        <v>6000</v>
      </c>
      <c r="J57" s="652">
        <f>'Total Hrs'!$C$43</f>
        <v>0.59919028340080971</v>
      </c>
      <c r="K57" s="674">
        <f t="shared" si="11"/>
        <v>3595.1417004048581</v>
      </c>
      <c r="L57" s="579"/>
      <c r="M57" s="516">
        <f t="shared" si="12"/>
        <v>3595.1417004048581</v>
      </c>
      <c r="O57" s="668">
        <f t="shared" si="3"/>
        <v>0</v>
      </c>
      <c r="P57" s="668">
        <f>'Recycling Adj.'!H57</f>
        <v>0</v>
      </c>
      <c r="Q57" s="669">
        <f t="shared" si="4"/>
        <v>0</v>
      </c>
      <c r="R57" s="668"/>
      <c r="S57" s="670"/>
    </row>
    <row r="58" spans="2:19">
      <c r="B58" s="520"/>
      <c r="C58" s="520" t="s">
        <v>343</v>
      </c>
      <c r="D58" s="515"/>
      <c r="E58" s="515"/>
      <c r="F58" s="515">
        <f t="shared" si="9"/>
        <v>0</v>
      </c>
      <c r="G58" s="515"/>
      <c r="H58" s="516">
        <f t="shared" si="10"/>
        <v>0</v>
      </c>
      <c r="I58" s="613">
        <f>'Cando 2019'!N29</f>
        <v>1800</v>
      </c>
      <c r="J58" s="652">
        <f>'Total Hrs'!$C$43</f>
        <v>0.59919028340080971</v>
      </c>
      <c r="K58" s="674">
        <f t="shared" si="11"/>
        <v>1078.5425101214576</v>
      </c>
      <c r="L58" s="579"/>
      <c r="M58" s="516">
        <f t="shared" si="12"/>
        <v>1078.5425101214576</v>
      </c>
      <c r="O58" s="668">
        <f t="shared" si="3"/>
        <v>0</v>
      </c>
      <c r="P58" s="668">
        <f>'Recycling Adj.'!H58</f>
        <v>0</v>
      </c>
      <c r="Q58" s="669">
        <f t="shared" si="4"/>
        <v>0</v>
      </c>
      <c r="R58" s="668"/>
      <c r="S58" s="670"/>
    </row>
    <row r="59" spans="2:19">
      <c r="B59" s="520"/>
      <c r="C59" s="592" t="s">
        <v>344</v>
      </c>
      <c r="D59" s="515"/>
      <c r="E59" s="515"/>
      <c r="F59" s="515">
        <f t="shared" si="9"/>
        <v>0</v>
      </c>
      <c r="G59" s="515"/>
      <c r="H59" s="516">
        <f t="shared" si="10"/>
        <v>0</v>
      </c>
      <c r="I59" s="613">
        <f>'Cando 2019'!N31</f>
        <v>18637.5</v>
      </c>
      <c r="J59" s="652">
        <f>'Total Hrs'!$C$43</f>
        <v>0.59919028340080971</v>
      </c>
      <c r="K59" s="674">
        <f t="shared" si="11"/>
        <v>11167.408906882591</v>
      </c>
      <c r="L59" s="597">
        <f>-K59</f>
        <v>-11167.408906882591</v>
      </c>
      <c r="M59" s="516">
        <f t="shared" si="12"/>
        <v>0</v>
      </c>
      <c r="O59" s="668">
        <f t="shared" si="3"/>
        <v>0</v>
      </c>
      <c r="P59" s="668">
        <f>'Recycling Adj.'!H59</f>
        <v>0</v>
      </c>
      <c r="Q59" s="669">
        <f t="shared" si="4"/>
        <v>0</v>
      </c>
      <c r="R59" s="668"/>
      <c r="S59" s="670"/>
    </row>
    <row r="60" spans="2:19">
      <c r="B60" s="520" t="s">
        <v>476</v>
      </c>
      <c r="C60" s="520"/>
      <c r="D60" s="515">
        <f>'Income Statement'!R48</f>
        <v>1423.0180936392462</v>
      </c>
      <c r="E60" s="662">
        <f>'Income Statement'!$R$48*'Drive Hours Recap'!E$24-D60</f>
        <v>-394.60968568475278</v>
      </c>
      <c r="F60" s="515">
        <f t="shared" ref="F60" si="16">D60+E60</f>
        <v>1028.4084079544934</v>
      </c>
      <c r="G60" s="515">
        <f>-F60</f>
        <v>-1028.4084079544934</v>
      </c>
      <c r="H60" s="516">
        <f t="shared" ref="H60" si="17">SUM(F60:G60)</f>
        <v>0</v>
      </c>
      <c r="I60" s="607"/>
      <c r="J60" s="652">
        <f>'Total Hrs'!$C$43</f>
        <v>0.59919028340080971</v>
      </c>
      <c r="K60" s="674">
        <f t="shared" si="11"/>
        <v>0</v>
      </c>
      <c r="L60" s="597">
        <v>0</v>
      </c>
      <c r="M60" s="516">
        <f t="shared" si="12"/>
        <v>0</v>
      </c>
      <c r="O60" s="668">
        <f t="shared" si="3"/>
        <v>0</v>
      </c>
      <c r="P60" s="668">
        <f>'Recycling Adj.'!H60</f>
        <v>0</v>
      </c>
      <c r="Q60" s="669">
        <f t="shared" si="4"/>
        <v>0</v>
      </c>
      <c r="R60" s="668">
        <f>'Income Statement'!T48</f>
        <v>0</v>
      </c>
      <c r="S60" s="671">
        <f>Q60-R60</f>
        <v>0</v>
      </c>
    </row>
    <row r="61" spans="2:19">
      <c r="B61" s="520" t="s">
        <v>295</v>
      </c>
      <c r="C61" s="520"/>
      <c r="D61" s="515">
        <f>'Income Statement'!P49</f>
        <v>0</v>
      </c>
      <c r="E61" s="515">
        <f>'Income Statement'!Q49*'Drive Hours Recap'!$E$24</f>
        <v>0</v>
      </c>
      <c r="F61" s="515">
        <f t="shared" si="9"/>
        <v>0</v>
      </c>
      <c r="G61" s="515">
        <v>0</v>
      </c>
      <c r="H61" s="516">
        <f t="shared" si="10"/>
        <v>0</v>
      </c>
      <c r="I61" s="606"/>
      <c r="J61" s="652">
        <f>'Total Hrs'!$C$43</f>
        <v>0.59919028340080971</v>
      </c>
      <c r="K61" s="674">
        <f t="shared" si="11"/>
        <v>0</v>
      </c>
      <c r="L61" s="579"/>
      <c r="M61" s="516">
        <f t="shared" si="12"/>
        <v>0</v>
      </c>
      <c r="O61" s="668">
        <f t="shared" si="3"/>
        <v>0</v>
      </c>
      <c r="P61" s="668">
        <f>'Recycling Adj.'!H61</f>
        <v>0</v>
      </c>
      <c r="Q61" s="669">
        <f t="shared" si="4"/>
        <v>0</v>
      </c>
      <c r="R61" s="668"/>
      <c r="S61" s="670"/>
    </row>
    <row r="62" spans="2:19">
      <c r="B62" s="520"/>
      <c r="C62" s="520" t="s">
        <v>338</v>
      </c>
      <c r="D62" s="515"/>
      <c r="E62" s="515"/>
      <c r="F62" s="515">
        <f t="shared" si="9"/>
        <v>0</v>
      </c>
      <c r="G62" s="515"/>
      <c r="H62" s="516">
        <f t="shared" si="10"/>
        <v>0</v>
      </c>
      <c r="I62" s="614">
        <f>'Cando 2019'!N20</f>
        <v>1524</v>
      </c>
      <c r="J62" s="652">
        <f>'Total Hrs'!$C$43</f>
        <v>0.59919028340080971</v>
      </c>
      <c r="K62" s="674">
        <f t="shared" si="11"/>
        <v>913.16599190283398</v>
      </c>
      <c r="L62" s="579"/>
      <c r="M62" s="516">
        <f t="shared" si="12"/>
        <v>913.16599190283398</v>
      </c>
      <c r="O62" s="668">
        <f t="shared" si="3"/>
        <v>0</v>
      </c>
      <c r="P62" s="668">
        <f>'Recycling Adj.'!H62</f>
        <v>0</v>
      </c>
      <c r="Q62" s="669">
        <f t="shared" si="4"/>
        <v>0</v>
      </c>
      <c r="R62" s="668"/>
      <c r="S62" s="670"/>
    </row>
    <row r="63" spans="2:19">
      <c r="B63" s="520"/>
      <c r="C63" s="520" t="s">
        <v>337</v>
      </c>
      <c r="D63" s="515"/>
      <c r="E63" s="515"/>
      <c r="F63" s="515">
        <f t="shared" si="9"/>
        <v>0</v>
      </c>
      <c r="G63" s="515"/>
      <c r="H63" s="516">
        <f t="shared" si="10"/>
        <v>0</v>
      </c>
      <c r="I63" s="606"/>
      <c r="J63" s="652">
        <f>'Total Hrs'!$C$43</f>
        <v>0.59919028340080971</v>
      </c>
      <c r="K63" s="674">
        <f t="shared" si="11"/>
        <v>0</v>
      </c>
      <c r="L63" s="579"/>
      <c r="M63" s="516">
        <f t="shared" si="12"/>
        <v>0</v>
      </c>
      <c r="O63" s="668">
        <f t="shared" si="3"/>
        <v>0</v>
      </c>
      <c r="P63" s="668">
        <f>'Recycling Adj.'!H63</f>
        <v>0</v>
      </c>
      <c r="Q63" s="669">
        <f t="shared" si="4"/>
        <v>0</v>
      </c>
      <c r="R63" s="668"/>
      <c r="S63" s="670"/>
    </row>
    <row r="64" spans="2:19">
      <c r="B64" s="520"/>
      <c r="C64" s="520" t="s">
        <v>513</v>
      </c>
      <c r="D64" s="515"/>
      <c r="E64" s="515"/>
      <c r="F64" s="515">
        <f t="shared" si="9"/>
        <v>0</v>
      </c>
      <c r="G64" s="515"/>
      <c r="H64" s="516">
        <f t="shared" si="10"/>
        <v>0</v>
      </c>
      <c r="I64" s="613">
        <f>'Cando 2019'!N28</f>
        <v>69999.995999999999</v>
      </c>
      <c r="J64" s="652">
        <f>'Total Hrs'!$C$43</f>
        <v>0.59919028340080971</v>
      </c>
      <c r="K64" s="674">
        <f t="shared" si="11"/>
        <v>41943.317441295549</v>
      </c>
      <c r="L64" s="579">
        <f>-L59</f>
        <v>11167.408906882591</v>
      </c>
      <c r="M64" s="516">
        <f t="shared" si="12"/>
        <v>53110.726348178141</v>
      </c>
      <c r="O64" s="668">
        <f t="shared" si="3"/>
        <v>0</v>
      </c>
      <c r="P64" s="668">
        <f>'Recycling Adj.'!H64</f>
        <v>0</v>
      </c>
      <c r="Q64" s="669">
        <f t="shared" si="4"/>
        <v>0</v>
      </c>
      <c r="R64" s="668"/>
      <c r="S64" s="670"/>
    </row>
    <row r="65" spans="2:19">
      <c r="B65" s="520"/>
      <c r="C65" s="520" t="s">
        <v>445</v>
      </c>
      <c r="D65" s="515"/>
      <c r="E65" s="515"/>
      <c r="F65" s="515">
        <f t="shared" si="9"/>
        <v>0</v>
      </c>
      <c r="G65" s="515"/>
      <c r="H65" s="516">
        <f t="shared" si="10"/>
        <v>0</v>
      </c>
      <c r="I65" s="621">
        <f>'Cando 2019'!N82</f>
        <v>21796</v>
      </c>
      <c r="J65" s="652">
        <f>'Total Hrs'!$C$43</f>
        <v>0.59919028340080971</v>
      </c>
      <c r="K65" s="674">
        <f t="shared" si="11"/>
        <v>13059.951417004049</v>
      </c>
      <c r="L65" s="579"/>
      <c r="M65" s="516">
        <f t="shared" si="12"/>
        <v>13059.951417004049</v>
      </c>
      <c r="O65" s="668">
        <f t="shared" si="3"/>
        <v>0</v>
      </c>
      <c r="P65" s="668">
        <f>'Recycling Adj.'!H65</f>
        <v>0</v>
      </c>
      <c r="Q65" s="669">
        <f t="shared" si="4"/>
        <v>0</v>
      </c>
      <c r="R65" s="668"/>
      <c r="S65" s="670"/>
    </row>
    <row r="66" spans="2:19">
      <c r="B66" s="576" t="s">
        <v>508</v>
      </c>
      <c r="C66" s="520"/>
      <c r="D66" s="525"/>
      <c r="E66" s="525"/>
      <c r="F66" s="525"/>
      <c r="G66" s="525"/>
      <c r="H66" s="573"/>
      <c r="I66" s="608">
        <v>0</v>
      </c>
      <c r="J66" s="675"/>
      <c r="K66" s="675"/>
      <c r="L66" s="580">
        <f>2100*0.5/2</f>
        <v>525</v>
      </c>
      <c r="M66" s="516">
        <f t="shared" si="12"/>
        <v>525</v>
      </c>
      <c r="O66" s="668">
        <f t="shared" si="3"/>
        <v>0</v>
      </c>
      <c r="P66" s="668">
        <f>'Recycling Adj.'!H66</f>
        <v>0</v>
      </c>
      <c r="Q66" s="669">
        <f t="shared" si="4"/>
        <v>0</v>
      </c>
      <c r="R66" s="668"/>
      <c r="S66" s="670"/>
    </row>
    <row r="67" spans="2:19">
      <c r="B67" s="520" t="s">
        <v>296</v>
      </c>
      <c r="C67" s="520"/>
      <c r="D67" s="587">
        <f t="shared" ref="D67:M67" si="18">SUM(D19:D66)</f>
        <v>497449.44836301566</v>
      </c>
      <c r="E67" s="587">
        <f t="shared" si="18"/>
        <v>-266836.75632466777</v>
      </c>
      <c r="F67" s="587">
        <f t="shared" si="18"/>
        <v>230612.69203834792</v>
      </c>
      <c r="G67" s="587">
        <f t="shared" si="18"/>
        <v>-27926.38813248073</v>
      </c>
      <c r="H67" s="587">
        <f t="shared" si="18"/>
        <v>202686.30390586721</v>
      </c>
      <c r="I67" s="609">
        <f t="shared" si="18"/>
        <v>529337.51190639997</v>
      </c>
      <c r="J67" s="595"/>
      <c r="K67" s="595"/>
      <c r="L67" s="586">
        <f t="shared" ca="1" si="18"/>
        <v>81022.106687619395</v>
      </c>
      <c r="M67" s="586">
        <f t="shared" ca="1" si="18"/>
        <v>465532.03285015869</v>
      </c>
      <c r="O67" s="668">
        <f t="shared" si="3"/>
        <v>202686.30390586721</v>
      </c>
      <c r="P67" s="668">
        <f>'Recycling Adj.'!H67</f>
        <v>40209.171480715755</v>
      </c>
      <c r="Q67" s="668">
        <f t="shared" ref="Q67:R67" si="19">SUM(Q18:Q66)</f>
        <v>242895.47538658293</v>
      </c>
      <c r="R67" s="668">
        <f t="shared" si="19"/>
        <v>242216.08046012724</v>
      </c>
      <c r="S67" s="668">
        <f>SUM(S18:S66)</f>
        <v>493.16101487209039</v>
      </c>
    </row>
    <row r="68" spans="2:19">
      <c r="B68" s="520"/>
      <c r="C68" s="520"/>
      <c r="D68" s="515"/>
      <c r="E68" s="539"/>
      <c r="F68" s="539"/>
      <c r="G68" s="539"/>
      <c r="H68" s="539"/>
      <c r="I68" s="610">
        <f>'Cando 2019'!N92</f>
        <v>529337.51190639997</v>
      </c>
      <c r="J68" s="539"/>
      <c r="K68" s="539"/>
      <c r="L68" s="654"/>
      <c r="M68" s="516"/>
      <c r="O68" s="668"/>
      <c r="P68" s="670"/>
      <c r="Q68" s="669">
        <f>SUM(O67:P67)</f>
        <v>242895.47538658296</v>
      </c>
      <c r="R68" s="668">
        <f>'Income Statement'!T52</f>
        <v>242402.31437171091</v>
      </c>
      <c r="S68" s="671">
        <f>Q68-R68</f>
        <v>493.16101487205015</v>
      </c>
    </row>
    <row r="69" spans="2:19">
      <c r="B69" s="524" t="s">
        <v>502</v>
      </c>
      <c r="C69" s="524"/>
      <c r="D69" s="525"/>
      <c r="E69" s="540"/>
      <c r="F69" s="540"/>
      <c r="G69" s="540"/>
      <c r="H69" s="540">
        <f>'Income Statement'!T52-'Recycling Adj.'!H67-H67</f>
        <v>-493.16101487207925</v>
      </c>
      <c r="I69" s="611">
        <f>I68-I67</f>
        <v>0</v>
      </c>
      <c r="J69" s="596"/>
      <c r="K69" s="596"/>
      <c r="L69" s="582"/>
      <c r="M69" s="589">
        <f ca="1">M68-M67</f>
        <v>-465532.03285015869</v>
      </c>
    </row>
    <row r="70" spans="2:19">
      <c r="D70" s="519"/>
      <c r="L70" s="520"/>
    </row>
    <row r="71" spans="2:19" ht="15" customHeight="1">
      <c r="D71" s="519"/>
      <c r="I71" s="680" t="s">
        <v>469</v>
      </c>
    </row>
    <row r="72" spans="2:19">
      <c r="I72" s="680"/>
    </row>
    <row r="73" spans="2:19">
      <c r="I73" s="680"/>
    </row>
    <row r="74" spans="2:19">
      <c r="I74" s="680"/>
    </row>
    <row r="75" spans="2:19">
      <c r="I75" s="680"/>
    </row>
    <row r="76" spans="2:19">
      <c r="I76" s="680"/>
    </row>
    <row r="77" spans="2:19">
      <c r="I77" s="680"/>
    </row>
  </sheetData>
  <mergeCells count="1">
    <mergeCell ref="I71:I77"/>
  </mergeCells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41"/>
  <sheetViews>
    <sheetView topLeftCell="A3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230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C5" s="338">
        <v>5.5</v>
      </c>
      <c r="E5" s="338">
        <v>5</v>
      </c>
      <c r="H5" s="340"/>
      <c r="I5" s="340"/>
      <c r="M5" s="338">
        <v>0.5</v>
      </c>
      <c r="P5" s="340"/>
      <c r="Q5" s="338">
        <v>4.75</v>
      </c>
      <c r="S5" s="340"/>
      <c r="T5" s="343"/>
    </row>
    <row r="6" spans="1:20">
      <c r="A6" s="339">
        <v>2</v>
      </c>
      <c r="B6" s="340"/>
      <c r="H6" s="340"/>
      <c r="I6" s="340"/>
      <c r="P6" s="340"/>
      <c r="S6" s="340"/>
      <c r="T6" s="343"/>
    </row>
    <row r="7" spans="1:20">
      <c r="A7" s="339">
        <v>3</v>
      </c>
      <c r="B7" s="340"/>
      <c r="H7" s="340"/>
      <c r="I7" s="340"/>
      <c r="P7" s="340"/>
      <c r="S7" s="340"/>
      <c r="T7" s="343"/>
    </row>
    <row r="8" spans="1:20">
      <c r="A8" s="339">
        <v>4</v>
      </c>
      <c r="B8" s="340"/>
      <c r="H8" s="340"/>
      <c r="I8" s="340"/>
      <c r="L8" s="338">
        <v>5.25</v>
      </c>
      <c r="M8" s="338">
        <v>0.5</v>
      </c>
      <c r="N8" s="338">
        <v>4.5</v>
      </c>
      <c r="P8" s="340"/>
      <c r="Q8" s="338">
        <v>7</v>
      </c>
      <c r="S8" s="340"/>
      <c r="T8" s="343"/>
    </row>
    <row r="9" spans="1:20">
      <c r="A9" s="339">
        <v>5</v>
      </c>
      <c r="B9" s="340"/>
      <c r="C9" s="338">
        <v>5.5</v>
      </c>
      <c r="H9" s="340"/>
      <c r="I9" s="340"/>
      <c r="M9" s="338">
        <v>0.5</v>
      </c>
      <c r="P9" s="340"/>
      <c r="Q9" s="338">
        <v>4.5</v>
      </c>
      <c r="S9" s="340"/>
      <c r="T9" s="343"/>
    </row>
    <row r="10" spans="1:20">
      <c r="A10" s="339">
        <v>6</v>
      </c>
      <c r="B10" s="340"/>
      <c r="G10" s="338">
        <v>5</v>
      </c>
      <c r="H10" s="340"/>
      <c r="I10" s="340"/>
      <c r="P10" s="340"/>
      <c r="S10" s="340"/>
      <c r="T10" s="343"/>
    </row>
    <row r="11" spans="1:20">
      <c r="A11" s="339">
        <v>7</v>
      </c>
      <c r="B11" s="340"/>
      <c r="H11" s="340"/>
      <c r="I11" s="340"/>
      <c r="L11" s="338">
        <v>6.25</v>
      </c>
      <c r="M11" s="338">
        <v>0.5</v>
      </c>
      <c r="N11" s="338">
        <v>4.5</v>
      </c>
      <c r="P11" s="340"/>
      <c r="Q11" s="338">
        <v>7.5</v>
      </c>
      <c r="S11" s="340"/>
      <c r="T11" s="343"/>
    </row>
    <row r="12" spans="1:20">
      <c r="A12" s="339">
        <v>8</v>
      </c>
      <c r="B12" s="340"/>
      <c r="C12" s="338">
        <v>8.75</v>
      </c>
      <c r="D12" s="338">
        <v>8</v>
      </c>
      <c r="F12" s="338">
        <v>7.5</v>
      </c>
      <c r="H12" s="340"/>
      <c r="I12" s="340"/>
      <c r="P12" s="340"/>
      <c r="Q12" s="338">
        <v>0.5</v>
      </c>
      <c r="S12" s="340"/>
      <c r="T12" s="343"/>
    </row>
    <row r="13" spans="1:20">
      <c r="A13" s="339">
        <v>9</v>
      </c>
      <c r="B13" s="340"/>
      <c r="H13" s="340"/>
      <c r="I13" s="340"/>
      <c r="J13" s="338">
        <v>9</v>
      </c>
      <c r="P13" s="340"/>
      <c r="S13" s="340"/>
      <c r="T13" s="343"/>
    </row>
    <row r="14" spans="1:20">
      <c r="A14" s="339">
        <v>10</v>
      </c>
      <c r="B14" s="340"/>
      <c r="H14" s="340"/>
      <c r="I14" s="340"/>
      <c r="J14" s="338">
        <v>8</v>
      </c>
      <c r="P14" s="340"/>
      <c r="S14" s="340"/>
      <c r="T14" s="343"/>
    </row>
    <row r="15" spans="1:20">
      <c r="A15" s="339">
        <v>11</v>
      </c>
      <c r="B15" s="340"/>
      <c r="C15" s="338">
        <v>5.5</v>
      </c>
      <c r="H15" s="340"/>
      <c r="I15" s="340"/>
      <c r="L15" s="338">
        <v>6.25</v>
      </c>
      <c r="M15" s="338">
        <v>0.5</v>
      </c>
      <c r="N15" s="338">
        <v>4.5</v>
      </c>
      <c r="P15" s="340"/>
      <c r="Q15" s="338">
        <v>7.5</v>
      </c>
      <c r="S15" s="340"/>
      <c r="T15" s="343"/>
    </row>
    <row r="16" spans="1:20">
      <c r="A16" s="339">
        <v>12</v>
      </c>
      <c r="B16" s="340"/>
      <c r="H16" s="340"/>
      <c r="I16" s="340"/>
      <c r="P16" s="340"/>
      <c r="Q16" s="338">
        <v>0.5</v>
      </c>
      <c r="S16" s="340"/>
      <c r="T16" s="343"/>
    </row>
    <row r="17" spans="1:20">
      <c r="A17" s="339">
        <v>13</v>
      </c>
      <c r="B17" s="340"/>
      <c r="G17" s="338">
        <v>2.5</v>
      </c>
      <c r="H17" s="340"/>
      <c r="I17" s="340"/>
      <c r="P17" s="340"/>
      <c r="S17" s="340"/>
      <c r="T17" s="343"/>
    </row>
    <row r="18" spans="1:20">
      <c r="A18" s="339">
        <v>14</v>
      </c>
      <c r="B18" s="340"/>
      <c r="H18" s="340"/>
      <c r="I18" s="340"/>
      <c r="L18" s="338">
        <v>5</v>
      </c>
      <c r="M18" s="338">
        <v>0.5</v>
      </c>
      <c r="N18" s="338">
        <v>4.5</v>
      </c>
      <c r="P18" s="340"/>
      <c r="Q18" s="338">
        <v>7</v>
      </c>
      <c r="S18" s="340"/>
      <c r="T18" s="343"/>
    </row>
    <row r="19" spans="1:20">
      <c r="A19" s="339">
        <v>15</v>
      </c>
      <c r="B19" s="340"/>
      <c r="C19" s="338">
        <v>6</v>
      </c>
      <c r="E19" s="338">
        <v>5.5</v>
      </c>
      <c r="H19" s="340"/>
      <c r="I19" s="340"/>
      <c r="M19" s="338">
        <v>2</v>
      </c>
      <c r="P19" s="340"/>
      <c r="Q19" s="338">
        <v>3.75</v>
      </c>
      <c r="S19" s="340"/>
      <c r="T19" s="343"/>
    </row>
    <row r="20" spans="1:20">
      <c r="A20" s="339">
        <v>16</v>
      </c>
      <c r="B20" s="340"/>
      <c r="H20" s="340"/>
      <c r="I20" s="340"/>
      <c r="P20" s="340"/>
      <c r="S20" s="340"/>
      <c r="T20" s="343"/>
    </row>
    <row r="21" spans="1:20">
      <c r="A21" s="339">
        <v>17</v>
      </c>
      <c r="B21" s="340"/>
      <c r="H21" s="340"/>
      <c r="I21" s="340"/>
      <c r="P21" s="340"/>
      <c r="S21" s="340"/>
      <c r="T21" s="343"/>
    </row>
    <row r="22" spans="1:20">
      <c r="A22" s="339">
        <v>18</v>
      </c>
      <c r="B22" s="340"/>
      <c r="C22" s="338">
        <v>5.5</v>
      </c>
      <c r="H22" s="340"/>
      <c r="I22" s="340"/>
      <c r="L22" s="338">
        <v>5</v>
      </c>
      <c r="M22" s="338">
        <v>0.5</v>
      </c>
      <c r="N22" s="338">
        <v>2.5</v>
      </c>
      <c r="P22" s="340"/>
      <c r="Q22" s="357">
        <v>7.75</v>
      </c>
      <c r="S22" s="340"/>
      <c r="T22" s="343"/>
    </row>
    <row r="23" spans="1:20">
      <c r="A23" s="339">
        <v>19</v>
      </c>
      <c r="B23" s="340"/>
      <c r="H23" s="340"/>
      <c r="I23" s="340"/>
      <c r="M23" s="338">
        <v>0.5</v>
      </c>
      <c r="P23" s="340"/>
      <c r="Q23" s="357">
        <v>3.25</v>
      </c>
      <c r="S23" s="340"/>
      <c r="T23" s="343"/>
    </row>
    <row r="24" spans="1:20">
      <c r="A24" s="339">
        <v>20</v>
      </c>
      <c r="B24" s="340"/>
      <c r="H24" s="340"/>
      <c r="I24" s="340"/>
      <c r="P24" s="340"/>
      <c r="S24" s="340"/>
      <c r="T24" s="343"/>
    </row>
    <row r="25" spans="1:20">
      <c r="A25" s="339">
        <v>21</v>
      </c>
      <c r="B25" s="340"/>
      <c r="H25" s="340"/>
      <c r="I25" s="340"/>
      <c r="L25" s="338">
        <v>5.25</v>
      </c>
      <c r="M25" s="338">
        <v>0.5</v>
      </c>
      <c r="N25" s="338">
        <v>4.75</v>
      </c>
      <c r="P25" s="340"/>
      <c r="Q25" s="338">
        <v>7</v>
      </c>
      <c r="S25" s="340"/>
      <c r="T25" s="343"/>
    </row>
    <row r="26" spans="1:20">
      <c r="A26" s="339">
        <v>22</v>
      </c>
      <c r="B26" s="340"/>
      <c r="C26" s="338">
        <v>12</v>
      </c>
      <c r="D26" s="338">
        <v>9</v>
      </c>
      <c r="F26" s="338">
        <v>9</v>
      </c>
      <c r="H26" s="340"/>
      <c r="I26" s="340"/>
      <c r="P26" s="340"/>
      <c r="Q26" s="338">
        <v>0.5</v>
      </c>
      <c r="S26" s="340"/>
      <c r="T26" s="343"/>
    </row>
    <row r="27" spans="1:20">
      <c r="A27" s="339">
        <v>23</v>
      </c>
      <c r="B27" s="340"/>
      <c r="H27" s="340"/>
      <c r="I27" s="340"/>
      <c r="P27" s="340"/>
      <c r="S27" s="340"/>
      <c r="T27" s="343"/>
    </row>
    <row r="28" spans="1:20">
      <c r="A28" s="339">
        <v>24</v>
      </c>
      <c r="B28" s="340"/>
      <c r="H28" s="340"/>
      <c r="I28" s="340"/>
      <c r="P28" s="340"/>
      <c r="S28" s="340"/>
      <c r="T28" s="343"/>
    </row>
    <row r="29" spans="1:20">
      <c r="A29" s="339">
        <v>25</v>
      </c>
      <c r="B29" s="340"/>
      <c r="C29" s="338">
        <v>5.5</v>
      </c>
      <c r="H29" s="340"/>
      <c r="I29" s="340"/>
      <c r="L29" s="338">
        <v>5.25</v>
      </c>
      <c r="N29" s="338">
        <v>4</v>
      </c>
      <c r="P29" s="340"/>
      <c r="Q29" s="338">
        <v>2</v>
      </c>
      <c r="S29" s="340"/>
      <c r="T29" s="343"/>
    </row>
    <row r="30" spans="1:20">
      <c r="A30" s="339">
        <v>26</v>
      </c>
      <c r="B30" s="340"/>
      <c r="G30" s="338">
        <v>1.25</v>
      </c>
      <c r="H30" s="340"/>
      <c r="I30" s="340"/>
      <c r="P30" s="340"/>
      <c r="S30" s="340"/>
      <c r="T30" s="343"/>
    </row>
    <row r="31" spans="1:20">
      <c r="A31" s="339">
        <v>27</v>
      </c>
      <c r="B31" s="340"/>
      <c r="H31" s="340"/>
      <c r="I31" s="340"/>
      <c r="M31" s="338">
        <v>0.5</v>
      </c>
      <c r="P31" s="340"/>
      <c r="Q31" s="338">
        <v>5</v>
      </c>
      <c r="S31" s="340"/>
      <c r="T31" s="343"/>
    </row>
    <row r="32" spans="1:20">
      <c r="A32" s="339">
        <v>28</v>
      </c>
      <c r="B32" s="340"/>
      <c r="H32" s="340"/>
      <c r="I32" s="340"/>
      <c r="K32" s="338">
        <v>2</v>
      </c>
      <c r="L32" s="338">
        <v>5</v>
      </c>
      <c r="M32" s="338">
        <v>0.5</v>
      </c>
      <c r="N32" s="338">
        <v>4.75</v>
      </c>
      <c r="P32" s="340"/>
      <c r="Q32" s="338">
        <v>7</v>
      </c>
      <c r="S32" s="340"/>
      <c r="T32" s="343"/>
    </row>
    <row r="33" spans="1:20">
      <c r="A33" s="339">
        <v>29</v>
      </c>
      <c r="B33" s="340"/>
      <c r="C33" s="338">
        <v>6.25</v>
      </c>
      <c r="E33" s="338">
        <v>5.25</v>
      </c>
      <c r="H33" s="340"/>
      <c r="I33" s="340"/>
      <c r="J33" s="338">
        <v>9</v>
      </c>
      <c r="P33" s="340"/>
      <c r="S33" s="340"/>
      <c r="T33" s="343"/>
    </row>
    <row r="34" spans="1:20">
      <c r="A34" s="339">
        <v>30</v>
      </c>
      <c r="B34" s="340"/>
      <c r="H34" s="340"/>
      <c r="I34" s="340"/>
      <c r="J34" s="338">
        <v>4</v>
      </c>
      <c r="M34" s="338">
        <v>0.5</v>
      </c>
      <c r="P34" s="340"/>
      <c r="Q34" s="338">
        <v>4</v>
      </c>
      <c r="S34" s="340"/>
      <c r="T34" s="343"/>
    </row>
    <row r="35" spans="1:20">
      <c r="A35" s="339">
        <v>31</v>
      </c>
      <c r="B35" s="340"/>
      <c r="H35" s="340"/>
      <c r="I35" s="340"/>
      <c r="M35" s="338">
        <v>0.5</v>
      </c>
      <c r="P35" s="340"/>
      <c r="Q35" s="338">
        <v>6.25</v>
      </c>
      <c r="S35" s="340"/>
      <c r="T35" s="343"/>
    </row>
    <row r="36" spans="1:20" ht="15.75" thickBot="1">
      <c r="A36" s="348"/>
      <c r="B36" s="349"/>
      <c r="C36" s="350">
        <f>SUM(C5:C35)</f>
        <v>60.5</v>
      </c>
      <c r="D36" s="351">
        <f>SUM(D5:D35)</f>
        <v>17</v>
      </c>
      <c r="E36" s="350">
        <f>SUM(E5:E35)</f>
        <v>15.75</v>
      </c>
      <c r="F36" s="351">
        <f>SUM(F5:F35)</f>
        <v>16.5</v>
      </c>
      <c r="G36" s="352">
        <f>SUM(G5:G35)</f>
        <v>8.75</v>
      </c>
      <c r="H36" s="349"/>
      <c r="I36" s="349"/>
      <c r="J36" s="353">
        <f>SUM(J5:J35)</f>
        <v>30</v>
      </c>
      <c r="K36" s="353">
        <f>SUM(K5:K35)</f>
        <v>2</v>
      </c>
      <c r="L36" s="354">
        <f>SUM(L5:L35)</f>
        <v>43.25</v>
      </c>
      <c r="M36" s="354">
        <f>SUM(M5:M35)</f>
        <v>8.5</v>
      </c>
      <c r="N36" s="354">
        <f>SUM(N5:N35)</f>
        <v>34</v>
      </c>
      <c r="O36" s="348"/>
      <c r="P36" s="349"/>
      <c r="Q36" s="348">
        <f>SUM(Q5:Q35)</f>
        <v>85.75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41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316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C5" s="338">
        <v>5</v>
      </c>
      <c r="H5" s="340"/>
      <c r="I5" s="340"/>
      <c r="L5" s="338">
        <v>5.25</v>
      </c>
      <c r="M5" s="338">
        <v>0.5</v>
      </c>
      <c r="N5" s="338">
        <v>4.5</v>
      </c>
      <c r="P5" s="340"/>
      <c r="Q5" s="357">
        <v>7</v>
      </c>
      <c r="S5" s="340"/>
      <c r="T5" s="343"/>
    </row>
    <row r="6" spans="1:20">
      <c r="A6" s="339">
        <v>2</v>
      </c>
      <c r="B6" s="340"/>
      <c r="G6" s="338">
        <v>1</v>
      </c>
      <c r="H6" s="340"/>
      <c r="I6" s="340"/>
      <c r="P6" s="340"/>
      <c r="Q6" s="338">
        <v>0.5</v>
      </c>
      <c r="S6" s="340"/>
      <c r="T6" s="343"/>
    </row>
    <row r="7" spans="1:20">
      <c r="A7" s="339">
        <v>3</v>
      </c>
      <c r="B7" s="340"/>
      <c r="H7" s="340"/>
      <c r="I7" s="340"/>
      <c r="P7" s="340"/>
      <c r="S7" s="340"/>
      <c r="T7" s="343"/>
    </row>
    <row r="8" spans="1:20">
      <c r="A8" s="339">
        <v>4</v>
      </c>
      <c r="B8" s="340"/>
      <c r="H8" s="340"/>
      <c r="I8" s="340"/>
      <c r="L8" s="338">
        <v>5.25</v>
      </c>
      <c r="M8" s="338">
        <v>0.5</v>
      </c>
      <c r="N8" s="338">
        <v>4.5</v>
      </c>
      <c r="P8" s="340"/>
      <c r="Q8" s="357">
        <v>7</v>
      </c>
      <c r="S8" s="340"/>
      <c r="T8" s="343"/>
    </row>
    <row r="9" spans="1:20">
      <c r="A9" s="339">
        <v>5</v>
      </c>
      <c r="B9" s="340"/>
      <c r="C9" s="338">
        <v>8</v>
      </c>
      <c r="D9" s="338">
        <v>9</v>
      </c>
      <c r="E9" s="338">
        <v>6</v>
      </c>
      <c r="F9" s="338">
        <v>8</v>
      </c>
      <c r="H9" s="340"/>
      <c r="I9" s="340"/>
      <c r="P9" s="340"/>
      <c r="Q9" s="357">
        <v>0.5</v>
      </c>
      <c r="S9" s="340"/>
      <c r="T9" s="343"/>
    </row>
    <row r="10" spans="1:20">
      <c r="A10" s="339">
        <v>6</v>
      </c>
      <c r="B10" s="340"/>
      <c r="H10" s="340"/>
      <c r="I10" s="340"/>
      <c r="K10" s="338">
        <v>3</v>
      </c>
      <c r="M10" s="338">
        <v>3</v>
      </c>
      <c r="P10" s="340"/>
      <c r="S10" s="340"/>
      <c r="T10" s="343"/>
    </row>
    <row r="11" spans="1:20">
      <c r="A11" s="339">
        <v>7</v>
      </c>
      <c r="B11" s="340"/>
      <c r="G11" s="338">
        <v>1</v>
      </c>
      <c r="H11" s="340"/>
      <c r="I11" s="340"/>
      <c r="P11" s="340"/>
      <c r="S11" s="340"/>
      <c r="T11" s="343"/>
    </row>
    <row r="12" spans="1:20">
      <c r="A12" s="339">
        <v>8</v>
      </c>
      <c r="B12" s="340"/>
      <c r="C12" s="338">
        <v>4.5</v>
      </c>
      <c r="H12" s="340"/>
      <c r="I12" s="340"/>
      <c r="L12" s="338">
        <v>5.25</v>
      </c>
      <c r="M12" s="338">
        <v>0.5</v>
      </c>
      <c r="N12" s="338">
        <v>4.5</v>
      </c>
      <c r="P12" s="340"/>
      <c r="Q12" s="357">
        <v>7</v>
      </c>
      <c r="S12" s="340"/>
      <c r="T12" s="343"/>
    </row>
    <row r="13" spans="1:20">
      <c r="A13" s="339">
        <v>9</v>
      </c>
      <c r="B13" s="340"/>
      <c r="H13" s="340"/>
      <c r="I13" s="340"/>
      <c r="P13" s="340"/>
      <c r="Q13" s="357">
        <v>0.5</v>
      </c>
      <c r="S13" s="340"/>
      <c r="T13" s="343"/>
    </row>
    <row r="14" spans="1:20">
      <c r="A14" s="339">
        <v>10</v>
      </c>
      <c r="B14" s="340"/>
      <c r="H14" s="340"/>
      <c r="I14" s="340"/>
      <c r="P14" s="340"/>
      <c r="S14" s="340"/>
      <c r="T14" s="343"/>
    </row>
    <row r="15" spans="1:20">
      <c r="A15" s="339">
        <v>11</v>
      </c>
      <c r="B15" s="340"/>
      <c r="H15" s="340"/>
      <c r="I15" s="340"/>
      <c r="L15" s="338">
        <v>5.25</v>
      </c>
      <c r="M15" s="338">
        <v>0.5</v>
      </c>
      <c r="N15" s="338">
        <v>4.75</v>
      </c>
      <c r="P15" s="340"/>
      <c r="Q15" s="357">
        <v>7.25</v>
      </c>
      <c r="S15" s="340"/>
      <c r="T15" s="343"/>
    </row>
    <row r="16" spans="1:20">
      <c r="A16" s="339">
        <v>12</v>
      </c>
      <c r="B16" s="340"/>
      <c r="C16" s="338">
        <v>7.5</v>
      </c>
      <c r="E16" s="338">
        <v>5.25</v>
      </c>
      <c r="H16" s="340"/>
      <c r="I16" s="340"/>
      <c r="M16" s="338">
        <v>0.5</v>
      </c>
      <c r="P16" s="340"/>
      <c r="Q16" s="357">
        <v>10</v>
      </c>
      <c r="S16" s="340"/>
      <c r="T16" s="343"/>
    </row>
    <row r="17" spans="1:20">
      <c r="A17" s="339">
        <v>13</v>
      </c>
      <c r="B17" s="340"/>
      <c r="H17" s="340"/>
      <c r="I17" s="340"/>
      <c r="M17" s="338">
        <v>0.5</v>
      </c>
      <c r="P17" s="340"/>
      <c r="Q17" s="357">
        <v>4</v>
      </c>
      <c r="S17" s="340"/>
      <c r="T17" s="343"/>
    </row>
    <row r="18" spans="1:20">
      <c r="A18" s="339">
        <v>14</v>
      </c>
      <c r="B18" s="340"/>
      <c r="H18" s="340"/>
      <c r="I18" s="340"/>
      <c r="M18" s="338">
        <v>0.5</v>
      </c>
      <c r="N18" s="338">
        <v>2.5</v>
      </c>
      <c r="P18" s="340"/>
      <c r="Q18" s="357">
        <v>5.5</v>
      </c>
      <c r="S18" s="340"/>
      <c r="T18" s="343"/>
    </row>
    <row r="19" spans="1:20">
      <c r="A19" s="339">
        <v>15</v>
      </c>
      <c r="B19" s="340"/>
      <c r="H19" s="340"/>
      <c r="I19" s="340"/>
      <c r="J19" s="338">
        <v>6</v>
      </c>
      <c r="L19" s="338">
        <v>5</v>
      </c>
      <c r="M19" s="338">
        <v>0.5</v>
      </c>
      <c r="N19" s="338">
        <v>4.25</v>
      </c>
      <c r="P19" s="340"/>
      <c r="Q19" s="357">
        <v>7.25</v>
      </c>
      <c r="S19" s="340"/>
      <c r="T19" s="343"/>
    </row>
    <row r="20" spans="1:20">
      <c r="A20" s="339">
        <v>16</v>
      </c>
      <c r="B20" s="340"/>
      <c r="H20" s="340"/>
      <c r="I20" s="340"/>
      <c r="P20" s="340"/>
      <c r="Q20" s="357">
        <v>0.5</v>
      </c>
      <c r="S20" s="340"/>
      <c r="T20" s="343"/>
    </row>
    <row r="21" spans="1:20">
      <c r="A21" s="339">
        <v>17</v>
      </c>
      <c r="B21" s="340"/>
      <c r="H21" s="340"/>
      <c r="I21" s="340"/>
      <c r="P21" s="340"/>
      <c r="S21" s="340"/>
      <c r="T21" s="343"/>
    </row>
    <row r="22" spans="1:20">
      <c r="A22" s="339">
        <v>18</v>
      </c>
      <c r="B22" s="340"/>
      <c r="H22" s="340"/>
      <c r="I22" s="340"/>
      <c r="L22" s="338">
        <v>5.25</v>
      </c>
      <c r="M22" s="338">
        <v>0.5</v>
      </c>
      <c r="N22" s="338">
        <v>4.75</v>
      </c>
      <c r="P22" s="340"/>
      <c r="Q22" s="357">
        <v>6.75</v>
      </c>
      <c r="S22" s="340"/>
      <c r="T22" s="343"/>
    </row>
    <row r="23" spans="1:20">
      <c r="A23" s="339">
        <v>19</v>
      </c>
      <c r="B23" s="340"/>
      <c r="C23" s="338">
        <v>9</v>
      </c>
      <c r="D23" s="338">
        <v>9</v>
      </c>
      <c r="E23" s="338">
        <v>9</v>
      </c>
      <c r="F23" s="338">
        <v>6.25</v>
      </c>
      <c r="H23" s="340"/>
      <c r="I23" s="340"/>
      <c r="P23" s="340"/>
      <c r="Q23" s="357">
        <v>0.5</v>
      </c>
      <c r="S23" s="340"/>
      <c r="T23" s="343"/>
    </row>
    <row r="24" spans="1:20">
      <c r="A24" s="339">
        <v>20</v>
      </c>
      <c r="B24" s="340"/>
      <c r="H24" s="340"/>
      <c r="I24" s="340"/>
      <c r="J24" s="338">
        <v>8.5</v>
      </c>
      <c r="P24" s="340"/>
      <c r="S24" s="340"/>
      <c r="T24" s="343"/>
    </row>
    <row r="25" spans="1:20">
      <c r="A25" s="339">
        <v>21</v>
      </c>
      <c r="B25" s="340"/>
      <c r="G25" s="338">
        <v>2.25</v>
      </c>
      <c r="H25" s="340"/>
      <c r="I25" s="340"/>
      <c r="P25" s="340"/>
      <c r="S25" s="340"/>
      <c r="T25" s="343"/>
    </row>
    <row r="26" spans="1:20">
      <c r="A26" s="339">
        <v>22</v>
      </c>
      <c r="B26" s="340"/>
      <c r="C26" s="338">
        <v>5.5</v>
      </c>
      <c r="H26" s="340"/>
      <c r="I26" s="340"/>
      <c r="L26" s="338">
        <v>5</v>
      </c>
      <c r="M26" s="338">
        <v>0.5</v>
      </c>
      <c r="N26" s="338">
        <v>4.5</v>
      </c>
      <c r="P26" s="340"/>
      <c r="Q26" s="357">
        <v>7</v>
      </c>
      <c r="S26" s="340"/>
      <c r="T26" s="343"/>
    </row>
    <row r="27" spans="1:20">
      <c r="A27" s="339">
        <v>23</v>
      </c>
      <c r="B27" s="340"/>
      <c r="G27" s="338">
        <v>3.75</v>
      </c>
      <c r="H27" s="340"/>
      <c r="I27" s="340"/>
      <c r="P27" s="340"/>
      <c r="Q27" s="357">
        <v>0.5</v>
      </c>
      <c r="S27" s="340"/>
      <c r="T27" s="343"/>
    </row>
    <row r="28" spans="1:20">
      <c r="A28" s="339">
        <v>24</v>
      </c>
      <c r="B28" s="340"/>
      <c r="G28" s="338">
        <v>1.25</v>
      </c>
      <c r="H28" s="340"/>
      <c r="I28" s="340"/>
      <c r="P28" s="340"/>
      <c r="S28" s="340"/>
      <c r="T28" s="343"/>
    </row>
    <row r="29" spans="1:20">
      <c r="A29" s="339">
        <v>25</v>
      </c>
      <c r="B29" s="340"/>
      <c r="H29" s="340"/>
      <c r="I29" s="340"/>
      <c r="L29" s="338">
        <v>5.5</v>
      </c>
      <c r="M29" s="338">
        <v>0.5</v>
      </c>
      <c r="N29" s="338">
        <v>5.25</v>
      </c>
      <c r="P29" s="340"/>
      <c r="Q29" s="357">
        <v>7.5</v>
      </c>
      <c r="S29" s="340"/>
      <c r="T29" s="343"/>
    </row>
    <row r="30" spans="1:20">
      <c r="A30" s="339">
        <v>26</v>
      </c>
      <c r="B30" s="340"/>
      <c r="C30" s="338">
        <v>6.5</v>
      </c>
      <c r="E30" s="338">
        <v>5.5</v>
      </c>
      <c r="H30" s="340"/>
      <c r="I30" s="340"/>
      <c r="P30" s="340"/>
      <c r="Q30" s="357">
        <v>0.5</v>
      </c>
      <c r="S30" s="340"/>
      <c r="T30" s="343"/>
    </row>
    <row r="31" spans="1:20">
      <c r="A31" s="339">
        <v>27</v>
      </c>
      <c r="B31" s="340"/>
      <c r="H31" s="340"/>
      <c r="I31" s="340"/>
      <c r="M31" s="338">
        <v>3.5</v>
      </c>
      <c r="P31" s="340"/>
      <c r="S31" s="340"/>
      <c r="T31" s="343"/>
    </row>
    <row r="32" spans="1:20">
      <c r="A32" s="339">
        <v>28</v>
      </c>
      <c r="B32" s="340"/>
      <c r="G32" s="338">
        <v>1.25</v>
      </c>
      <c r="H32" s="340"/>
      <c r="I32" s="340"/>
      <c r="P32" s="340"/>
      <c r="S32" s="340"/>
      <c r="T32" s="343"/>
    </row>
    <row r="33" spans="1:20">
      <c r="A33" s="339">
        <v>29</v>
      </c>
      <c r="B33" s="340"/>
      <c r="C33" s="338">
        <v>5.5</v>
      </c>
      <c r="H33" s="340"/>
      <c r="I33" s="340"/>
      <c r="L33" s="338">
        <v>5</v>
      </c>
      <c r="M33" s="338">
        <v>4.5</v>
      </c>
      <c r="N33" s="338">
        <v>4.75</v>
      </c>
      <c r="P33" s="340"/>
      <c r="Q33" s="357">
        <v>9</v>
      </c>
      <c r="S33" s="340"/>
      <c r="T33" s="343"/>
    </row>
    <row r="34" spans="1:20">
      <c r="A34" s="339">
        <v>30</v>
      </c>
      <c r="B34" s="340"/>
      <c r="G34" s="338">
        <v>1.25</v>
      </c>
      <c r="H34" s="340"/>
      <c r="I34" s="340"/>
      <c r="P34" s="340"/>
      <c r="Q34" s="357">
        <v>5.25</v>
      </c>
      <c r="S34" s="340"/>
      <c r="T34" s="343"/>
    </row>
    <row r="35" spans="1:20">
      <c r="A35" s="339">
        <v>31</v>
      </c>
      <c r="B35" s="340"/>
      <c r="H35" s="340"/>
      <c r="I35" s="340"/>
      <c r="P35" s="340"/>
      <c r="S35" s="340"/>
      <c r="T35" s="343"/>
    </row>
    <row r="36" spans="1:20" ht="15.75" thickBot="1">
      <c r="A36" s="348"/>
      <c r="B36" s="349"/>
      <c r="C36" s="350">
        <f>SUM(C5:C35)</f>
        <v>51.5</v>
      </c>
      <c r="D36" s="351">
        <f>SUM(D5:D35)</f>
        <v>18</v>
      </c>
      <c r="E36" s="350">
        <f>SUM(E5:E35)</f>
        <v>25.75</v>
      </c>
      <c r="F36" s="351">
        <f>SUM(F5:F35)</f>
        <v>14.25</v>
      </c>
      <c r="G36" s="352">
        <f>SUM(G5:G35)</f>
        <v>11.75</v>
      </c>
      <c r="H36" s="349"/>
      <c r="I36" s="349"/>
      <c r="J36" s="353">
        <f>SUM(J5:J35)</f>
        <v>14.5</v>
      </c>
      <c r="K36" s="353">
        <f>SUM(K5:K35)</f>
        <v>3</v>
      </c>
      <c r="L36" s="354">
        <f>SUM(L5:L35)</f>
        <v>46.75</v>
      </c>
      <c r="M36" s="354">
        <f>SUM(M5:M35)</f>
        <v>16.5</v>
      </c>
      <c r="N36" s="354">
        <f>SUM(N5:N35)</f>
        <v>44.25</v>
      </c>
      <c r="O36" s="348"/>
      <c r="P36" s="349"/>
      <c r="Q36" s="348">
        <f>SUM(Q5:Q35)</f>
        <v>94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41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317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H5" s="340"/>
      <c r="I5" s="340"/>
      <c r="P5" s="340"/>
      <c r="S5" s="340"/>
      <c r="T5" s="343"/>
    </row>
    <row r="6" spans="1:20">
      <c r="A6" s="339">
        <v>2</v>
      </c>
      <c r="B6" s="340"/>
      <c r="H6" s="340"/>
      <c r="I6" s="340"/>
      <c r="L6" s="338">
        <v>7.75</v>
      </c>
      <c r="M6" s="338">
        <v>2</v>
      </c>
      <c r="N6" s="338">
        <v>6.75</v>
      </c>
      <c r="P6" s="340"/>
      <c r="Q6" s="357">
        <v>8</v>
      </c>
      <c r="S6" s="340"/>
      <c r="T6" s="343"/>
    </row>
    <row r="7" spans="1:20">
      <c r="A7" s="339">
        <v>3</v>
      </c>
      <c r="B7" s="340"/>
      <c r="D7" s="338">
        <v>11.5</v>
      </c>
      <c r="F7" s="338">
        <v>8.75</v>
      </c>
      <c r="H7" s="340"/>
      <c r="I7" s="340"/>
      <c r="P7" s="340"/>
      <c r="S7" s="340"/>
      <c r="T7" s="343"/>
    </row>
    <row r="8" spans="1:20">
      <c r="A8" s="339">
        <v>4</v>
      </c>
      <c r="B8" s="340"/>
      <c r="H8" s="340"/>
      <c r="I8" s="340"/>
      <c r="M8" s="338">
        <v>2.5</v>
      </c>
      <c r="P8" s="340"/>
      <c r="Q8" s="338">
        <v>5.25</v>
      </c>
      <c r="S8" s="340"/>
      <c r="T8" s="343"/>
    </row>
    <row r="9" spans="1:20">
      <c r="A9" s="339">
        <v>5</v>
      </c>
      <c r="B9" s="340"/>
      <c r="G9" s="338">
        <v>1.25</v>
      </c>
      <c r="H9" s="340"/>
      <c r="I9" s="340"/>
      <c r="P9" s="340"/>
      <c r="Q9" s="338">
        <v>5.5</v>
      </c>
      <c r="S9" s="340"/>
      <c r="T9" s="343"/>
    </row>
    <row r="10" spans="1:20">
      <c r="A10" s="339">
        <v>6</v>
      </c>
      <c r="B10" s="340"/>
      <c r="C10" s="338">
        <v>5.5</v>
      </c>
      <c r="H10" s="340"/>
      <c r="I10" s="340"/>
      <c r="J10" s="338">
        <v>9</v>
      </c>
      <c r="L10" s="338">
        <v>7.75</v>
      </c>
      <c r="M10" s="338">
        <v>1</v>
      </c>
      <c r="N10" s="338">
        <v>6.75</v>
      </c>
      <c r="P10" s="340"/>
      <c r="Q10" s="357">
        <v>8.5</v>
      </c>
      <c r="S10" s="340"/>
      <c r="T10" s="343"/>
    </row>
    <row r="11" spans="1:20">
      <c r="A11" s="339">
        <v>7</v>
      </c>
      <c r="B11" s="340"/>
      <c r="G11" s="338">
        <v>1.25</v>
      </c>
      <c r="H11" s="340"/>
      <c r="I11" s="340"/>
      <c r="M11" s="338">
        <v>5</v>
      </c>
      <c r="P11" s="340"/>
      <c r="Q11" s="357">
        <v>0.5</v>
      </c>
      <c r="S11" s="340"/>
      <c r="T11" s="343"/>
    </row>
    <row r="12" spans="1:20">
      <c r="A12" s="339">
        <v>8</v>
      </c>
      <c r="B12" s="340"/>
      <c r="G12" s="338">
        <v>1.25</v>
      </c>
      <c r="H12" s="340"/>
      <c r="I12" s="340"/>
      <c r="N12" s="338">
        <v>6.5</v>
      </c>
      <c r="P12" s="340"/>
      <c r="S12" s="340"/>
      <c r="T12" s="343"/>
    </row>
    <row r="13" spans="1:20">
      <c r="A13" s="339">
        <v>9</v>
      </c>
      <c r="B13" s="340"/>
      <c r="H13" s="340"/>
      <c r="I13" s="340"/>
      <c r="L13" s="338">
        <v>7.5</v>
      </c>
      <c r="P13" s="340"/>
      <c r="Q13" s="338">
        <v>9</v>
      </c>
      <c r="S13" s="340"/>
      <c r="T13" s="343"/>
    </row>
    <row r="14" spans="1:20">
      <c r="A14" s="339">
        <v>10</v>
      </c>
      <c r="B14" s="340"/>
      <c r="C14" s="338">
        <v>9</v>
      </c>
      <c r="E14" s="338">
        <v>5</v>
      </c>
      <c r="H14" s="340"/>
      <c r="I14" s="340"/>
      <c r="J14" s="338">
        <v>8.25</v>
      </c>
      <c r="M14" s="338">
        <v>1</v>
      </c>
      <c r="N14" s="338">
        <v>6.5</v>
      </c>
      <c r="P14" s="340"/>
      <c r="Q14" s="338">
        <v>0.75</v>
      </c>
      <c r="S14" s="340"/>
      <c r="T14" s="343"/>
    </row>
    <row r="15" spans="1:20">
      <c r="A15" s="339">
        <v>11</v>
      </c>
      <c r="B15" s="340"/>
      <c r="G15" s="338">
        <v>2.5</v>
      </c>
      <c r="H15" s="340"/>
      <c r="I15" s="340"/>
      <c r="J15" s="338">
        <v>4</v>
      </c>
      <c r="L15" s="338">
        <v>6</v>
      </c>
      <c r="M15" s="338">
        <v>4.5</v>
      </c>
      <c r="P15" s="340"/>
      <c r="Q15" s="338">
        <v>9</v>
      </c>
      <c r="S15" s="340"/>
      <c r="T15" s="343"/>
    </row>
    <row r="16" spans="1:20">
      <c r="A16" s="339">
        <v>12</v>
      </c>
      <c r="B16" s="340"/>
      <c r="G16" s="338">
        <v>1.25</v>
      </c>
      <c r="H16" s="340"/>
      <c r="I16" s="340"/>
      <c r="K16" s="338">
        <v>4</v>
      </c>
      <c r="M16" s="338">
        <v>6</v>
      </c>
      <c r="P16" s="340"/>
      <c r="Q16" s="338">
        <v>0.5</v>
      </c>
      <c r="S16" s="340"/>
      <c r="T16" s="343"/>
    </row>
    <row r="17" spans="1:20">
      <c r="A17" s="339">
        <v>13</v>
      </c>
      <c r="B17" s="340"/>
      <c r="C17" s="338">
        <v>5</v>
      </c>
      <c r="H17" s="340"/>
      <c r="I17" s="340"/>
      <c r="L17" s="338">
        <v>7</v>
      </c>
      <c r="N17" s="338">
        <v>6.5</v>
      </c>
      <c r="P17" s="340"/>
      <c r="Q17" s="338">
        <v>9</v>
      </c>
      <c r="S17" s="340"/>
      <c r="T17" s="343"/>
    </row>
    <row r="18" spans="1:20">
      <c r="A18" s="339">
        <v>14</v>
      </c>
      <c r="B18" s="340"/>
      <c r="G18" s="338">
        <v>1.25</v>
      </c>
      <c r="H18" s="340"/>
      <c r="I18" s="340"/>
      <c r="M18" s="338">
        <v>6.5</v>
      </c>
      <c r="P18" s="340"/>
      <c r="Q18" s="338">
        <v>0.5</v>
      </c>
      <c r="S18" s="340"/>
      <c r="T18" s="343"/>
    </row>
    <row r="19" spans="1:20">
      <c r="A19" s="339">
        <v>15</v>
      </c>
      <c r="B19" s="340"/>
      <c r="H19" s="340"/>
      <c r="I19" s="340"/>
      <c r="P19" s="340"/>
      <c r="S19" s="340"/>
      <c r="T19" s="343"/>
    </row>
    <row r="20" spans="1:20">
      <c r="A20" s="339">
        <v>16</v>
      </c>
      <c r="B20" s="340"/>
      <c r="H20" s="340"/>
      <c r="I20" s="340"/>
      <c r="L20" s="338">
        <v>7</v>
      </c>
      <c r="P20" s="340"/>
      <c r="Q20" s="338">
        <v>8.5</v>
      </c>
      <c r="S20" s="340"/>
      <c r="T20" s="343"/>
    </row>
    <row r="21" spans="1:20">
      <c r="A21" s="339">
        <v>17</v>
      </c>
      <c r="B21" s="340"/>
      <c r="C21" s="338">
        <v>8.25</v>
      </c>
      <c r="D21" s="338">
        <v>10</v>
      </c>
      <c r="F21" s="338">
        <v>10</v>
      </c>
      <c r="H21" s="340"/>
      <c r="I21" s="340"/>
      <c r="P21" s="340"/>
      <c r="Q21" s="338">
        <v>5.5</v>
      </c>
      <c r="S21" s="340"/>
      <c r="T21" s="343"/>
    </row>
    <row r="22" spans="1:20">
      <c r="A22" s="339">
        <v>18</v>
      </c>
      <c r="B22" s="340"/>
      <c r="H22" s="340"/>
      <c r="I22" s="340"/>
      <c r="L22" s="338">
        <v>6.75</v>
      </c>
      <c r="N22" s="338">
        <v>6.75</v>
      </c>
      <c r="P22" s="340"/>
      <c r="Q22" s="338">
        <v>9</v>
      </c>
      <c r="S22" s="340"/>
      <c r="T22" s="343"/>
    </row>
    <row r="23" spans="1:20">
      <c r="A23" s="339">
        <v>19</v>
      </c>
      <c r="B23" s="340"/>
      <c r="H23" s="340"/>
      <c r="I23" s="340"/>
      <c r="P23" s="340"/>
      <c r="Q23" s="338">
        <v>0.5</v>
      </c>
      <c r="S23" s="340"/>
      <c r="T23" s="343"/>
    </row>
    <row r="24" spans="1:20">
      <c r="A24" s="339">
        <v>20</v>
      </c>
      <c r="B24" s="340"/>
      <c r="C24" s="338">
        <v>5.5</v>
      </c>
      <c r="H24" s="340"/>
      <c r="I24" s="340"/>
      <c r="L24" s="338">
        <v>6.75</v>
      </c>
      <c r="M24" s="338">
        <v>4.5</v>
      </c>
      <c r="N24" s="338">
        <v>6.75</v>
      </c>
      <c r="P24" s="340"/>
      <c r="Q24" s="357">
        <v>9</v>
      </c>
      <c r="S24" s="340"/>
      <c r="T24" s="343"/>
    </row>
    <row r="25" spans="1:20">
      <c r="A25" s="339">
        <v>21</v>
      </c>
      <c r="B25" s="340"/>
      <c r="H25" s="340"/>
      <c r="I25" s="340"/>
      <c r="P25" s="340"/>
      <c r="Q25" s="357">
        <v>0.5</v>
      </c>
      <c r="S25" s="340"/>
      <c r="T25" s="343"/>
    </row>
    <row r="26" spans="1:20">
      <c r="A26" s="339">
        <v>22</v>
      </c>
      <c r="B26" s="340"/>
      <c r="H26" s="340"/>
      <c r="I26" s="340"/>
      <c r="P26" s="340"/>
      <c r="S26" s="340"/>
      <c r="T26" s="343"/>
    </row>
    <row r="27" spans="1:20">
      <c r="A27" s="339">
        <v>23</v>
      </c>
      <c r="B27" s="340"/>
      <c r="H27" s="340"/>
      <c r="I27" s="340"/>
      <c r="L27" s="338">
        <v>7</v>
      </c>
      <c r="M27" s="338">
        <v>0.5</v>
      </c>
      <c r="N27" s="338">
        <v>6.25</v>
      </c>
      <c r="P27" s="340"/>
      <c r="Q27" s="357">
        <v>8.75</v>
      </c>
      <c r="S27" s="340"/>
      <c r="T27" s="343"/>
    </row>
    <row r="28" spans="1:20">
      <c r="A28" s="339">
        <v>24</v>
      </c>
      <c r="B28" s="340"/>
      <c r="C28" s="338">
        <v>7</v>
      </c>
      <c r="E28" s="338">
        <v>6</v>
      </c>
      <c r="H28" s="340"/>
      <c r="I28" s="340"/>
      <c r="J28" s="338">
        <v>4</v>
      </c>
      <c r="P28" s="340"/>
      <c r="Q28" s="357">
        <v>0.5</v>
      </c>
      <c r="S28" s="340"/>
      <c r="T28" s="343"/>
    </row>
    <row r="29" spans="1:20">
      <c r="A29" s="339">
        <v>25</v>
      </c>
      <c r="B29" s="340"/>
      <c r="H29" s="340"/>
      <c r="I29" s="340"/>
      <c r="J29" s="338">
        <v>7.5</v>
      </c>
      <c r="L29" s="338">
        <v>7</v>
      </c>
      <c r="N29" s="338">
        <v>6.5</v>
      </c>
      <c r="P29" s="340"/>
      <c r="Q29" s="357">
        <v>4</v>
      </c>
      <c r="S29" s="340"/>
      <c r="T29" s="343"/>
    </row>
    <row r="30" spans="1:20">
      <c r="A30" s="339">
        <v>26</v>
      </c>
      <c r="B30" s="340"/>
      <c r="G30" s="338">
        <v>2.5</v>
      </c>
      <c r="H30" s="340"/>
      <c r="I30" s="340"/>
      <c r="J30" s="358">
        <v>10.5</v>
      </c>
      <c r="P30" s="340"/>
      <c r="Q30" s="357">
        <v>1.75</v>
      </c>
      <c r="S30" s="340"/>
      <c r="T30" s="343"/>
    </row>
    <row r="31" spans="1:20">
      <c r="A31" s="339">
        <v>27</v>
      </c>
      <c r="B31" s="340"/>
      <c r="C31" s="338">
        <v>5.5</v>
      </c>
      <c r="H31" s="340"/>
      <c r="I31" s="340"/>
      <c r="J31" s="358">
        <v>9.5</v>
      </c>
      <c r="L31" s="338">
        <v>7</v>
      </c>
      <c r="N31" s="338">
        <v>6.5</v>
      </c>
      <c r="P31" s="340"/>
      <c r="Q31" s="357">
        <v>8.25</v>
      </c>
      <c r="S31" s="340"/>
      <c r="T31" s="343"/>
    </row>
    <row r="32" spans="1:20">
      <c r="A32" s="339">
        <v>28</v>
      </c>
      <c r="B32" s="340"/>
      <c r="H32" s="340"/>
      <c r="I32" s="340"/>
      <c r="M32" s="338">
        <v>0.5</v>
      </c>
      <c r="P32" s="340"/>
      <c r="Q32" s="357">
        <v>0.5</v>
      </c>
      <c r="S32" s="340"/>
      <c r="T32" s="343"/>
    </row>
    <row r="33" spans="1:20">
      <c r="A33" s="339">
        <v>29</v>
      </c>
      <c r="B33" s="340"/>
      <c r="H33" s="340"/>
      <c r="I33" s="340"/>
      <c r="P33" s="340"/>
      <c r="Q33" s="357"/>
      <c r="S33" s="340"/>
      <c r="T33" s="343"/>
    </row>
    <row r="34" spans="1:20">
      <c r="A34" s="339">
        <v>30</v>
      </c>
      <c r="B34" s="340"/>
      <c r="H34" s="340"/>
      <c r="I34" s="340"/>
      <c r="L34" s="338">
        <v>7</v>
      </c>
      <c r="M34" s="338">
        <v>0.5</v>
      </c>
      <c r="N34" s="338">
        <v>6.5</v>
      </c>
      <c r="P34" s="340"/>
      <c r="Q34" s="357">
        <v>8.25</v>
      </c>
      <c r="S34" s="340"/>
      <c r="T34" s="343"/>
    </row>
    <row r="35" spans="1:20">
      <c r="A35" s="339">
        <v>31</v>
      </c>
      <c r="B35" s="340"/>
      <c r="C35" s="338">
        <v>12.5</v>
      </c>
      <c r="D35" s="338">
        <v>9.5</v>
      </c>
      <c r="F35" s="338">
        <v>9.75</v>
      </c>
      <c r="H35" s="340"/>
      <c r="I35" s="340"/>
      <c r="M35" s="338">
        <v>0.5</v>
      </c>
      <c r="P35" s="340"/>
      <c r="Q35" s="338">
        <v>5.25</v>
      </c>
      <c r="S35" s="340"/>
      <c r="T35" s="343"/>
    </row>
    <row r="36" spans="1:20" ht="15.75" thickBot="1">
      <c r="A36" s="348"/>
      <c r="B36" s="349"/>
      <c r="C36" s="350">
        <f>SUM(C5:C35)</f>
        <v>58.25</v>
      </c>
      <c r="D36" s="351">
        <f>SUM(D5:D35)</f>
        <v>31</v>
      </c>
      <c r="E36" s="350">
        <f>SUM(E5:E35)</f>
        <v>11</v>
      </c>
      <c r="F36" s="351">
        <f>SUM(F5:F35)</f>
        <v>28.5</v>
      </c>
      <c r="G36" s="352">
        <f>SUM(G5:G35)</f>
        <v>11.25</v>
      </c>
      <c r="H36" s="349"/>
      <c r="I36" s="349"/>
      <c r="J36" s="353">
        <f>SUM(J5:J35)</f>
        <v>52.75</v>
      </c>
      <c r="K36" s="353">
        <f>SUM(K5:K35)</f>
        <v>4</v>
      </c>
      <c r="L36" s="354">
        <f>SUM(L5:L35)</f>
        <v>84.5</v>
      </c>
      <c r="M36" s="354">
        <f>SUM(M5:M35)</f>
        <v>35</v>
      </c>
      <c r="N36" s="354">
        <f>SUM(N5:N35)</f>
        <v>72.25</v>
      </c>
      <c r="O36" s="348"/>
      <c r="P36" s="349"/>
      <c r="Q36" s="348">
        <f>SUM(Q5:Q35)</f>
        <v>126.75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T41"/>
  <sheetViews>
    <sheetView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233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C5" s="338">
        <v>5.75</v>
      </c>
      <c r="G5" s="338">
        <v>1.25</v>
      </c>
      <c r="H5" s="340"/>
      <c r="I5" s="340"/>
      <c r="L5" s="338">
        <v>7</v>
      </c>
      <c r="M5" s="338">
        <v>1</v>
      </c>
      <c r="N5" s="338">
        <v>6.25</v>
      </c>
      <c r="P5" s="340"/>
      <c r="Q5" s="338">
        <v>8.75</v>
      </c>
      <c r="S5" s="340"/>
      <c r="T5" s="343"/>
    </row>
    <row r="6" spans="1:20">
      <c r="A6" s="339">
        <v>2</v>
      </c>
      <c r="B6" s="340"/>
      <c r="H6" s="340"/>
      <c r="I6" s="340"/>
      <c r="J6" s="338">
        <v>4.5</v>
      </c>
      <c r="P6" s="340"/>
      <c r="Q6" s="338">
        <v>0.5</v>
      </c>
      <c r="S6" s="340"/>
      <c r="T6" s="343"/>
    </row>
    <row r="7" spans="1:20">
      <c r="A7" s="339">
        <v>3</v>
      </c>
      <c r="B7" s="340"/>
      <c r="H7" s="340"/>
      <c r="I7" s="340"/>
      <c r="J7" s="338">
        <v>8.5</v>
      </c>
      <c r="L7" s="338">
        <v>7</v>
      </c>
      <c r="N7" s="338">
        <v>6.25</v>
      </c>
      <c r="P7" s="340"/>
      <c r="Q7" s="338">
        <v>8.5</v>
      </c>
      <c r="S7" s="340"/>
      <c r="T7" s="343"/>
    </row>
    <row r="8" spans="1:20">
      <c r="A8" s="339">
        <v>4</v>
      </c>
      <c r="B8" s="340"/>
      <c r="H8" s="340"/>
      <c r="I8" s="340"/>
      <c r="P8" s="340"/>
      <c r="Q8" s="338">
        <v>0.5</v>
      </c>
      <c r="S8" s="340"/>
      <c r="T8" s="343"/>
    </row>
    <row r="9" spans="1:20">
      <c r="A9" s="339">
        <v>5</v>
      </c>
      <c r="B9" s="340"/>
      <c r="H9" s="340"/>
      <c r="I9" s="340"/>
      <c r="P9" s="340"/>
      <c r="S9" s="340"/>
      <c r="T9" s="343"/>
    </row>
    <row r="10" spans="1:20">
      <c r="A10" s="339">
        <v>6</v>
      </c>
      <c r="B10" s="340"/>
      <c r="H10" s="340"/>
      <c r="I10" s="340"/>
      <c r="L10" s="338">
        <v>7</v>
      </c>
      <c r="M10" s="338">
        <v>0.5</v>
      </c>
      <c r="N10" s="338">
        <v>6.5</v>
      </c>
      <c r="P10" s="340"/>
      <c r="Q10" s="338">
        <v>8.25</v>
      </c>
      <c r="S10" s="340"/>
      <c r="T10" s="343"/>
    </row>
    <row r="11" spans="1:20">
      <c r="A11" s="339">
        <v>7</v>
      </c>
      <c r="B11" s="340"/>
      <c r="C11" s="338">
        <v>9.5</v>
      </c>
      <c r="F11" s="338">
        <v>9</v>
      </c>
      <c r="H11" s="340"/>
      <c r="I11" s="340"/>
      <c r="P11" s="340"/>
      <c r="Q11" s="338">
        <v>0.5</v>
      </c>
      <c r="S11" s="340"/>
      <c r="T11" s="343"/>
    </row>
    <row r="12" spans="1:20">
      <c r="A12" s="339">
        <v>8</v>
      </c>
      <c r="B12" s="340"/>
      <c r="H12" s="340"/>
      <c r="I12" s="340"/>
      <c r="L12" s="338">
        <v>7</v>
      </c>
      <c r="M12" s="338">
        <v>4.5</v>
      </c>
      <c r="N12" s="338">
        <v>6.5</v>
      </c>
      <c r="P12" s="340"/>
      <c r="Q12" s="338">
        <v>8.25</v>
      </c>
      <c r="S12" s="340"/>
      <c r="T12" s="343"/>
    </row>
    <row r="13" spans="1:20">
      <c r="A13" s="339">
        <v>9</v>
      </c>
      <c r="B13" s="340"/>
      <c r="H13" s="340"/>
      <c r="I13" s="340"/>
      <c r="J13" s="338">
        <v>10</v>
      </c>
      <c r="P13" s="340"/>
      <c r="S13" s="340"/>
      <c r="T13" s="343"/>
    </row>
    <row r="14" spans="1:20">
      <c r="A14" s="339">
        <v>10</v>
      </c>
      <c r="B14" s="340"/>
      <c r="C14" s="338">
        <v>4</v>
      </c>
      <c r="H14" s="340"/>
      <c r="I14" s="340"/>
      <c r="K14" s="338">
        <v>4</v>
      </c>
      <c r="M14" s="338">
        <v>4</v>
      </c>
      <c r="N14" s="338">
        <v>6.5</v>
      </c>
      <c r="P14" s="340"/>
      <c r="Q14" s="338">
        <v>9</v>
      </c>
      <c r="S14" s="340"/>
      <c r="T14" s="343"/>
    </row>
    <row r="15" spans="1:20">
      <c r="A15" s="339">
        <v>11</v>
      </c>
      <c r="B15" s="340"/>
      <c r="H15" s="340"/>
      <c r="I15" s="340"/>
      <c r="P15" s="340"/>
      <c r="Q15" s="338">
        <v>0.5</v>
      </c>
      <c r="S15" s="340"/>
      <c r="T15" s="343"/>
    </row>
    <row r="16" spans="1:20">
      <c r="A16" s="339">
        <v>12</v>
      </c>
      <c r="B16" s="340"/>
      <c r="H16" s="340"/>
      <c r="I16" s="340"/>
      <c r="P16" s="340"/>
      <c r="S16" s="340"/>
      <c r="T16" s="343"/>
    </row>
    <row r="17" spans="1:20">
      <c r="A17" s="339">
        <v>13</v>
      </c>
      <c r="B17" s="340"/>
      <c r="H17" s="340"/>
      <c r="I17" s="340"/>
      <c r="L17" s="338">
        <v>6.75</v>
      </c>
      <c r="M17" s="338">
        <v>0.5</v>
      </c>
      <c r="N17" s="338">
        <v>6.5</v>
      </c>
      <c r="P17" s="340"/>
      <c r="Q17" s="338">
        <v>9</v>
      </c>
      <c r="S17" s="340"/>
      <c r="T17" s="343"/>
    </row>
    <row r="18" spans="1:20">
      <c r="A18" s="339">
        <v>14</v>
      </c>
      <c r="B18" s="340"/>
      <c r="C18" s="338">
        <v>9.5</v>
      </c>
      <c r="D18" s="338">
        <v>9</v>
      </c>
      <c r="E18" s="338">
        <v>9</v>
      </c>
      <c r="F18" s="338">
        <v>8</v>
      </c>
      <c r="H18" s="340"/>
      <c r="I18" s="340"/>
      <c r="P18" s="340"/>
      <c r="Q18" s="338">
        <v>6.25</v>
      </c>
      <c r="S18" s="340"/>
      <c r="T18" s="343"/>
    </row>
    <row r="19" spans="1:20">
      <c r="A19" s="339">
        <v>15</v>
      </c>
      <c r="B19" s="340"/>
      <c r="H19" s="340"/>
      <c r="I19" s="340"/>
      <c r="L19" s="338">
        <v>7</v>
      </c>
      <c r="M19" s="338">
        <v>2.5</v>
      </c>
      <c r="N19" s="338">
        <v>12.5</v>
      </c>
      <c r="P19" s="340"/>
      <c r="Q19" s="357">
        <v>9</v>
      </c>
      <c r="S19" s="340"/>
      <c r="T19" s="343"/>
    </row>
    <row r="20" spans="1:20">
      <c r="A20" s="339">
        <v>16</v>
      </c>
      <c r="B20" s="340"/>
      <c r="H20" s="340"/>
      <c r="I20" s="340"/>
      <c r="P20" s="340"/>
      <c r="S20" s="340"/>
      <c r="T20" s="343"/>
    </row>
    <row r="21" spans="1:20">
      <c r="A21" s="339">
        <v>17</v>
      </c>
      <c r="B21" s="340"/>
      <c r="C21" s="338">
        <v>6.25</v>
      </c>
      <c r="H21" s="340"/>
      <c r="I21" s="340"/>
      <c r="L21" s="338">
        <v>6.75</v>
      </c>
      <c r="N21" s="338">
        <v>5.75</v>
      </c>
      <c r="P21" s="340"/>
      <c r="Q21" s="338">
        <v>5.5</v>
      </c>
      <c r="S21" s="340"/>
      <c r="T21" s="343"/>
    </row>
    <row r="22" spans="1:20">
      <c r="A22" s="339">
        <v>18</v>
      </c>
      <c r="B22" s="340"/>
      <c r="G22" s="338">
        <v>1.25</v>
      </c>
      <c r="H22" s="340"/>
      <c r="I22" s="340"/>
      <c r="P22" s="340"/>
      <c r="Q22" s="338">
        <v>0.5</v>
      </c>
      <c r="S22" s="340"/>
      <c r="T22" s="343"/>
    </row>
    <row r="23" spans="1:20">
      <c r="A23" s="339">
        <v>19</v>
      </c>
      <c r="B23" s="340"/>
      <c r="H23" s="340"/>
      <c r="I23" s="340"/>
      <c r="P23" s="340"/>
      <c r="Q23" s="338">
        <v>0.5</v>
      </c>
      <c r="S23" s="340"/>
      <c r="T23" s="343"/>
    </row>
    <row r="24" spans="1:20">
      <c r="A24" s="339">
        <v>20</v>
      </c>
      <c r="B24" s="340"/>
      <c r="H24" s="340"/>
      <c r="I24" s="340"/>
      <c r="L24" s="338">
        <v>7</v>
      </c>
      <c r="N24" s="338">
        <v>5.25</v>
      </c>
      <c r="P24" s="340"/>
      <c r="Q24" s="338">
        <v>7.75</v>
      </c>
      <c r="S24" s="340"/>
      <c r="T24" s="343"/>
    </row>
    <row r="25" spans="1:20">
      <c r="A25" s="339">
        <v>21</v>
      </c>
      <c r="B25" s="340"/>
      <c r="C25" s="338">
        <v>7</v>
      </c>
      <c r="E25" s="338">
        <v>5.75</v>
      </c>
      <c r="H25" s="340"/>
      <c r="I25" s="340"/>
      <c r="K25" s="338">
        <v>2</v>
      </c>
      <c r="P25" s="340"/>
      <c r="Q25" s="338">
        <v>0.5</v>
      </c>
      <c r="S25" s="340"/>
      <c r="T25" s="343"/>
    </row>
    <row r="26" spans="1:20">
      <c r="A26" s="339">
        <v>22</v>
      </c>
      <c r="B26" s="340"/>
      <c r="H26" s="340"/>
      <c r="I26" s="340"/>
      <c r="L26" s="338">
        <v>7</v>
      </c>
      <c r="M26" s="338">
        <v>2.5</v>
      </c>
      <c r="N26" s="338">
        <v>6.25</v>
      </c>
      <c r="P26" s="340"/>
      <c r="Q26" s="357">
        <v>7.5</v>
      </c>
      <c r="S26" s="340"/>
      <c r="T26" s="343"/>
    </row>
    <row r="27" spans="1:20">
      <c r="A27" s="339">
        <v>23</v>
      </c>
      <c r="B27" s="340"/>
      <c r="H27" s="340"/>
      <c r="I27" s="340"/>
      <c r="P27" s="340"/>
      <c r="Q27" s="357">
        <v>0.5</v>
      </c>
      <c r="S27" s="340"/>
      <c r="T27" s="343"/>
    </row>
    <row r="28" spans="1:20">
      <c r="A28" s="339">
        <v>24</v>
      </c>
      <c r="B28" s="340"/>
      <c r="C28" s="338">
        <v>4.5</v>
      </c>
      <c r="H28" s="340"/>
      <c r="I28" s="340"/>
      <c r="M28" s="338">
        <v>6</v>
      </c>
      <c r="N28" s="338">
        <v>5.75</v>
      </c>
      <c r="P28" s="340"/>
      <c r="Q28" s="357">
        <v>8</v>
      </c>
      <c r="S28" s="340"/>
      <c r="T28" s="343"/>
    </row>
    <row r="29" spans="1:20">
      <c r="A29" s="339">
        <v>25</v>
      </c>
      <c r="B29" s="340"/>
      <c r="H29" s="340"/>
      <c r="I29" s="340"/>
      <c r="K29" s="338">
        <v>4</v>
      </c>
      <c r="P29" s="340"/>
      <c r="Q29" s="357">
        <v>0.5</v>
      </c>
      <c r="S29" s="340"/>
      <c r="T29" s="343"/>
    </row>
    <row r="30" spans="1:20">
      <c r="A30" s="339">
        <v>26</v>
      </c>
      <c r="B30" s="340"/>
      <c r="G30" s="338">
        <v>1.25</v>
      </c>
      <c r="H30" s="340"/>
      <c r="I30" s="340"/>
      <c r="P30" s="340"/>
      <c r="S30" s="340"/>
      <c r="T30" s="343"/>
    </row>
    <row r="31" spans="1:20">
      <c r="A31" s="339">
        <v>27</v>
      </c>
      <c r="B31" s="340"/>
      <c r="H31" s="340"/>
      <c r="I31" s="340"/>
      <c r="L31" s="338">
        <v>6.75</v>
      </c>
      <c r="N31" s="338">
        <v>5.25</v>
      </c>
      <c r="P31" s="340"/>
      <c r="Q31" s="338">
        <v>8.5</v>
      </c>
      <c r="S31" s="340"/>
      <c r="T31" s="343"/>
    </row>
    <row r="32" spans="1:20">
      <c r="A32" s="339">
        <v>28</v>
      </c>
      <c r="B32" s="340"/>
      <c r="C32" s="338">
        <v>9</v>
      </c>
      <c r="D32" s="338">
        <v>10.75</v>
      </c>
      <c r="F32" s="338">
        <v>10</v>
      </c>
      <c r="H32" s="340"/>
      <c r="I32" s="340"/>
      <c r="P32" s="340"/>
      <c r="Q32" s="338">
        <v>0.5</v>
      </c>
      <c r="S32" s="340"/>
      <c r="T32" s="343"/>
    </row>
    <row r="33" spans="1:20">
      <c r="A33" s="339">
        <v>29</v>
      </c>
      <c r="B33" s="340"/>
      <c r="H33" s="340"/>
      <c r="I33" s="340"/>
      <c r="L33" s="338">
        <v>6.75</v>
      </c>
      <c r="N33" s="338">
        <v>6.25</v>
      </c>
      <c r="P33" s="340"/>
      <c r="Q33" s="338">
        <v>7.5</v>
      </c>
      <c r="S33" s="340"/>
      <c r="T33" s="343"/>
    </row>
    <row r="34" spans="1:20">
      <c r="A34" s="339">
        <v>30</v>
      </c>
      <c r="B34" s="340"/>
      <c r="H34" s="340"/>
      <c r="I34" s="340"/>
      <c r="J34" s="338">
        <v>6</v>
      </c>
      <c r="P34" s="340"/>
      <c r="Q34" s="338">
        <v>0.5</v>
      </c>
      <c r="S34" s="340"/>
      <c r="T34" s="343"/>
    </row>
    <row r="35" spans="1:20">
      <c r="A35" s="339">
        <v>31</v>
      </c>
      <c r="B35" s="340"/>
      <c r="C35" s="338">
        <v>5.5</v>
      </c>
      <c r="H35" s="340"/>
      <c r="I35" s="340"/>
      <c r="J35" s="338">
        <v>7.5</v>
      </c>
      <c r="L35" s="338">
        <v>6.75</v>
      </c>
      <c r="N35" s="338">
        <v>6.25</v>
      </c>
      <c r="P35" s="340"/>
      <c r="Q35" s="338">
        <v>8</v>
      </c>
      <c r="S35" s="340"/>
      <c r="T35" s="343"/>
    </row>
    <row r="36" spans="1:20" ht="15.75" thickBot="1">
      <c r="A36" s="348"/>
      <c r="B36" s="349"/>
      <c r="C36" s="350">
        <f>SUM(C5:C35)</f>
        <v>61</v>
      </c>
      <c r="D36" s="351">
        <f>SUM(D5:D35)</f>
        <v>19.75</v>
      </c>
      <c r="E36" s="350">
        <f>SUM(E5:E35)</f>
        <v>14.75</v>
      </c>
      <c r="F36" s="351">
        <f>SUM(F5:F35)</f>
        <v>27</v>
      </c>
      <c r="G36" s="352">
        <f>SUM(G5:G35)</f>
        <v>3.75</v>
      </c>
      <c r="H36" s="349"/>
      <c r="I36" s="349"/>
      <c r="J36" s="353">
        <f>SUM(J5:J35)</f>
        <v>36.5</v>
      </c>
      <c r="K36" s="353">
        <f>SUM(K5:K35)</f>
        <v>10</v>
      </c>
      <c r="L36" s="354">
        <f>SUM(L5:L35)</f>
        <v>82.75</v>
      </c>
      <c r="M36" s="354">
        <f>SUM(M5:M35)</f>
        <v>21.5</v>
      </c>
      <c r="N36" s="354">
        <f>SUM(N5:N35)</f>
        <v>91.75</v>
      </c>
      <c r="O36" s="348"/>
      <c r="P36" s="349"/>
      <c r="Q36" s="348">
        <f>SUM(Q5:Q35)</f>
        <v>125.25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41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318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G5" s="338">
        <v>1.25</v>
      </c>
      <c r="H5" s="340"/>
      <c r="I5" s="340"/>
      <c r="P5" s="340"/>
      <c r="Q5" s="338">
        <v>0.5</v>
      </c>
      <c r="S5" s="340"/>
      <c r="T5" s="343"/>
    </row>
    <row r="6" spans="1:20">
      <c r="A6" s="339">
        <v>2</v>
      </c>
      <c r="B6" s="340"/>
      <c r="G6" s="338">
        <v>3.75</v>
      </c>
      <c r="H6" s="340"/>
      <c r="I6" s="340"/>
      <c r="P6" s="340"/>
      <c r="S6" s="340"/>
      <c r="T6" s="343"/>
    </row>
    <row r="7" spans="1:20">
      <c r="A7" s="339">
        <v>3</v>
      </c>
      <c r="B7" s="340"/>
      <c r="G7" s="338">
        <v>2.5</v>
      </c>
      <c r="H7" s="340"/>
      <c r="I7" s="340"/>
      <c r="L7" s="338">
        <v>5.5</v>
      </c>
      <c r="N7" s="338">
        <v>4.25</v>
      </c>
      <c r="P7" s="340"/>
      <c r="Q7" s="338">
        <v>9.25</v>
      </c>
      <c r="S7" s="340"/>
      <c r="T7" s="343"/>
    </row>
    <row r="8" spans="1:20">
      <c r="A8" s="339">
        <v>4</v>
      </c>
      <c r="B8" s="340"/>
      <c r="C8" s="338">
        <v>6.5</v>
      </c>
      <c r="E8" s="338">
        <v>5.75</v>
      </c>
      <c r="H8" s="340"/>
      <c r="I8" s="340"/>
      <c r="P8" s="340"/>
      <c r="S8" s="340"/>
      <c r="T8" s="343"/>
    </row>
    <row r="9" spans="1:20">
      <c r="A9" s="339">
        <v>5</v>
      </c>
      <c r="B9" s="340"/>
      <c r="H9" s="340"/>
      <c r="I9" s="340"/>
      <c r="J9" s="338">
        <v>9.25</v>
      </c>
      <c r="P9" s="340"/>
      <c r="Q9" s="338">
        <v>0.75</v>
      </c>
      <c r="S9" s="340"/>
      <c r="T9" s="343"/>
    </row>
    <row r="10" spans="1:20">
      <c r="A10" s="339">
        <v>6</v>
      </c>
      <c r="B10" s="340"/>
      <c r="H10" s="340"/>
      <c r="I10" s="340"/>
      <c r="J10" s="338">
        <v>8.5</v>
      </c>
      <c r="P10" s="340"/>
      <c r="S10" s="340"/>
      <c r="T10" s="343"/>
    </row>
    <row r="11" spans="1:20">
      <c r="A11" s="339">
        <v>7</v>
      </c>
      <c r="B11" s="340"/>
      <c r="C11" s="338">
        <v>6.25</v>
      </c>
      <c r="H11" s="340"/>
      <c r="I11" s="340"/>
      <c r="J11" s="338">
        <v>6</v>
      </c>
      <c r="L11" s="338">
        <v>5</v>
      </c>
      <c r="N11" s="338">
        <v>4.25</v>
      </c>
      <c r="P11" s="340"/>
      <c r="Q11" s="338">
        <v>7.5</v>
      </c>
      <c r="S11" s="340"/>
      <c r="T11" s="343"/>
    </row>
    <row r="12" spans="1:20">
      <c r="A12" s="339">
        <v>8</v>
      </c>
      <c r="B12" s="340"/>
      <c r="G12" s="338">
        <v>1.25</v>
      </c>
      <c r="H12" s="340"/>
      <c r="I12" s="340"/>
      <c r="P12" s="340"/>
      <c r="Q12" s="338">
        <v>0.5</v>
      </c>
      <c r="S12" s="340"/>
      <c r="T12" s="343"/>
    </row>
    <row r="13" spans="1:20">
      <c r="A13" s="339">
        <v>9</v>
      </c>
      <c r="B13" s="340"/>
      <c r="H13" s="340"/>
      <c r="I13" s="340"/>
      <c r="P13" s="340"/>
      <c r="S13" s="340"/>
      <c r="T13" s="343"/>
    </row>
    <row r="14" spans="1:20">
      <c r="A14" s="339">
        <v>10</v>
      </c>
      <c r="B14" s="340"/>
      <c r="H14" s="340"/>
      <c r="I14" s="340"/>
      <c r="L14" s="338">
        <v>4.75</v>
      </c>
      <c r="N14" s="338">
        <v>4.25</v>
      </c>
      <c r="P14" s="340"/>
      <c r="Q14" s="338">
        <v>7</v>
      </c>
      <c r="S14" s="340"/>
      <c r="T14" s="343"/>
    </row>
    <row r="15" spans="1:20">
      <c r="A15" s="339">
        <v>11</v>
      </c>
      <c r="B15" s="340"/>
      <c r="C15" s="338">
        <v>10.25</v>
      </c>
      <c r="D15" s="338">
        <v>10.5</v>
      </c>
      <c r="F15" s="338">
        <v>9</v>
      </c>
      <c r="H15" s="340"/>
      <c r="I15" s="340"/>
      <c r="P15" s="340"/>
      <c r="S15" s="340"/>
      <c r="T15" s="343"/>
    </row>
    <row r="16" spans="1:20">
      <c r="A16" s="339">
        <v>12</v>
      </c>
      <c r="B16" s="340"/>
      <c r="G16" s="338">
        <v>3.75</v>
      </c>
      <c r="H16" s="340"/>
      <c r="I16" s="340"/>
      <c r="K16" s="338">
        <v>1</v>
      </c>
      <c r="P16" s="340"/>
      <c r="S16" s="340"/>
      <c r="T16" s="343"/>
    </row>
    <row r="17" spans="1:20">
      <c r="A17" s="339">
        <v>13</v>
      </c>
      <c r="B17" s="340"/>
      <c r="H17" s="340"/>
      <c r="I17" s="340"/>
      <c r="M17" s="338">
        <v>0.5</v>
      </c>
      <c r="P17" s="340"/>
      <c r="Q17" s="338">
        <v>5.75</v>
      </c>
      <c r="S17" s="340"/>
      <c r="T17" s="343"/>
    </row>
    <row r="18" spans="1:20">
      <c r="A18" s="339">
        <v>14</v>
      </c>
      <c r="B18" s="340"/>
      <c r="C18" s="338">
        <v>3</v>
      </c>
      <c r="H18" s="340"/>
      <c r="I18" s="340"/>
      <c r="L18" s="338">
        <v>5</v>
      </c>
      <c r="N18" s="338">
        <v>4.25</v>
      </c>
      <c r="P18" s="340"/>
      <c r="Q18" s="338">
        <v>6.75</v>
      </c>
      <c r="S18" s="340"/>
      <c r="T18" s="343"/>
    </row>
    <row r="19" spans="1:20">
      <c r="A19" s="339">
        <v>15</v>
      </c>
      <c r="B19" s="340"/>
      <c r="H19" s="340"/>
      <c r="I19" s="340"/>
      <c r="P19" s="340"/>
      <c r="S19" s="340"/>
      <c r="T19" s="343"/>
    </row>
    <row r="20" spans="1:20">
      <c r="A20" s="339">
        <v>16</v>
      </c>
      <c r="B20" s="340"/>
      <c r="H20" s="340"/>
      <c r="I20" s="340"/>
      <c r="P20" s="340"/>
      <c r="S20" s="340"/>
      <c r="T20" s="343"/>
    </row>
    <row r="21" spans="1:20">
      <c r="A21" s="339">
        <v>17</v>
      </c>
      <c r="B21" s="340"/>
      <c r="H21" s="340"/>
      <c r="I21" s="340"/>
      <c r="L21" s="338">
        <v>4.75</v>
      </c>
      <c r="N21" s="338">
        <v>4.25</v>
      </c>
      <c r="P21" s="340"/>
      <c r="Q21" s="338">
        <v>6.75</v>
      </c>
      <c r="S21" s="340"/>
      <c r="T21" s="343"/>
    </row>
    <row r="22" spans="1:20">
      <c r="A22" s="339">
        <v>18</v>
      </c>
      <c r="B22" s="340"/>
      <c r="C22" s="338">
        <v>8.5</v>
      </c>
      <c r="E22" s="338">
        <v>7.5</v>
      </c>
      <c r="H22" s="340"/>
      <c r="I22" s="340"/>
      <c r="P22" s="340"/>
      <c r="Q22" s="338">
        <v>0.5</v>
      </c>
      <c r="S22" s="340"/>
      <c r="T22" s="343"/>
    </row>
    <row r="23" spans="1:20">
      <c r="A23" s="339">
        <v>19</v>
      </c>
      <c r="B23" s="340"/>
      <c r="H23" s="340"/>
      <c r="I23" s="340"/>
      <c r="P23" s="340"/>
      <c r="Q23" s="338">
        <v>5</v>
      </c>
      <c r="S23" s="340"/>
      <c r="T23" s="343"/>
    </row>
    <row r="24" spans="1:20">
      <c r="A24" s="339">
        <v>20</v>
      </c>
      <c r="B24" s="340"/>
      <c r="H24" s="340"/>
      <c r="I24" s="340"/>
      <c r="P24" s="340"/>
      <c r="S24" s="340"/>
      <c r="T24" s="343"/>
    </row>
    <row r="25" spans="1:20">
      <c r="A25" s="339">
        <v>21</v>
      </c>
      <c r="B25" s="340"/>
      <c r="C25" s="338">
        <v>5.5</v>
      </c>
      <c r="H25" s="340"/>
      <c r="I25" s="340"/>
      <c r="L25" s="338">
        <v>5</v>
      </c>
      <c r="M25" s="338">
        <v>4.5</v>
      </c>
      <c r="N25" s="338">
        <v>4.5</v>
      </c>
      <c r="P25" s="340"/>
      <c r="Q25" s="338">
        <v>6.75</v>
      </c>
      <c r="S25" s="340"/>
      <c r="T25" s="343"/>
    </row>
    <row r="26" spans="1:20">
      <c r="A26" s="339">
        <v>22</v>
      </c>
      <c r="B26" s="340"/>
      <c r="G26" s="338">
        <v>3.75</v>
      </c>
      <c r="H26" s="340"/>
      <c r="I26" s="340"/>
      <c r="P26" s="340"/>
      <c r="Q26" s="338">
        <v>0.5</v>
      </c>
      <c r="S26" s="340"/>
      <c r="T26" s="343"/>
    </row>
    <row r="27" spans="1:20">
      <c r="A27" s="339">
        <v>23</v>
      </c>
      <c r="B27" s="340"/>
      <c r="H27" s="340"/>
      <c r="I27" s="340"/>
      <c r="P27" s="340"/>
      <c r="S27" s="340"/>
      <c r="T27" s="343"/>
    </row>
    <row r="28" spans="1:20">
      <c r="A28" s="339">
        <v>24</v>
      </c>
      <c r="B28" s="340"/>
      <c r="H28" s="340"/>
      <c r="I28" s="340"/>
      <c r="L28" s="338">
        <v>5</v>
      </c>
      <c r="N28" s="338">
        <v>4.5</v>
      </c>
      <c r="P28" s="340"/>
      <c r="Q28" s="338">
        <v>6.75</v>
      </c>
      <c r="S28" s="340"/>
      <c r="T28" s="343"/>
    </row>
    <row r="29" spans="1:20">
      <c r="A29" s="339">
        <v>25</v>
      </c>
      <c r="B29" s="340"/>
      <c r="C29" s="338">
        <v>10.25</v>
      </c>
      <c r="D29" s="338">
        <v>9</v>
      </c>
      <c r="F29" s="338">
        <v>8.5</v>
      </c>
      <c r="H29" s="340"/>
      <c r="I29" s="340"/>
      <c r="P29" s="340"/>
      <c r="Q29" s="338">
        <v>0.5</v>
      </c>
      <c r="S29" s="340"/>
      <c r="T29" s="343"/>
    </row>
    <row r="30" spans="1:20">
      <c r="A30" s="339">
        <v>26</v>
      </c>
      <c r="B30" s="340"/>
      <c r="G30" s="338">
        <v>3.75</v>
      </c>
      <c r="H30" s="340"/>
      <c r="I30" s="340"/>
      <c r="J30" s="338">
        <v>6</v>
      </c>
      <c r="P30" s="340"/>
      <c r="Q30" s="338">
        <v>1.25</v>
      </c>
      <c r="S30" s="340"/>
      <c r="T30" s="343"/>
    </row>
    <row r="31" spans="1:20">
      <c r="A31" s="339">
        <v>27</v>
      </c>
      <c r="B31" s="340"/>
      <c r="H31" s="340"/>
      <c r="I31" s="340"/>
      <c r="J31" s="338">
        <v>6</v>
      </c>
      <c r="P31" s="340"/>
      <c r="Q31" s="338">
        <v>6</v>
      </c>
      <c r="S31" s="340"/>
      <c r="T31" s="343"/>
    </row>
    <row r="32" spans="1:20">
      <c r="A32" s="339">
        <v>28</v>
      </c>
      <c r="B32" s="340"/>
      <c r="C32" s="338">
        <v>5</v>
      </c>
      <c r="H32" s="340"/>
      <c r="I32" s="340"/>
      <c r="L32" s="338">
        <v>4.75</v>
      </c>
      <c r="M32" s="338">
        <v>4</v>
      </c>
      <c r="N32" s="338">
        <v>4.5</v>
      </c>
      <c r="P32" s="340"/>
      <c r="Q32" s="338">
        <v>7.25</v>
      </c>
      <c r="S32" s="340"/>
      <c r="T32" s="343"/>
    </row>
    <row r="33" spans="1:20">
      <c r="A33" s="339">
        <v>29</v>
      </c>
      <c r="B33" s="340"/>
      <c r="H33" s="340"/>
      <c r="I33" s="340"/>
      <c r="P33" s="340"/>
      <c r="Q33" s="338">
        <v>0.75</v>
      </c>
      <c r="S33" s="340"/>
      <c r="T33" s="343"/>
    </row>
    <row r="34" spans="1:20">
      <c r="A34" s="339">
        <v>30</v>
      </c>
      <c r="B34" s="340"/>
      <c r="H34" s="340"/>
      <c r="I34" s="340"/>
      <c r="P34" s="340"/>
      <c r="S34" s="340"/>
      <c r="T34" s="343"/>
    </row>
    <row r="35" spans="1:20">
      <c r="A35" s="339">
        <v>31</v>
      </c>
      <c r="B35" s="340"/>
      <c r="H35" s="340"/>
      <c r="I35" s="340"/>
      <c r="P35" s="340"/>
      <c r="S35" s="340"/>
      <c r="T35" s="343"/>
    </row>
    <row r="36" spans="1:20" ht="15.75" thickBot="1">
      <c r="A36" s="348"/>
      <c r="B36" s="349"/>
      <c r="C36" s="350">
        <f>SUM(C5:C35)</f>
        <v>55.25</v>
      </c>
      <c r="D36" s="351">
        <f>SUM(D5:D35)</f>
        <v>19.5</v>
      </c>
      <c r="E36" s="350">
        <f>SUM(E5:E35)</f>
        <v>13.25</v>
      </c>
      <c r="F36" s="351">
        <f>SUM(F5:F35)</f>
        <v>17.5</v>
      </c>
      <c r="G36" s="352">
        <f>SUM(G5:G35)</f>
        <v>20</v>
      </c>
      <c r="H36" s="349"/>
      <c r="I36" s="349"/>
      <c r="J36" s="353">
        <f>SUM(J5:J35)</f>
        <v>35.75</v>
      </c>
      <c r="K36" s="353">
        <f>SUM(K5:K35)</f>
        <v>1</v>
      </c>
      <c r="L36" s="354">
        <f>SUM(L5:L35)</f>
        <v>39.75</v>
      </c>
      <c r="M36" s="354">
        <f>SUM(M5:M35)</f>
        <v>9</v>
      </c>
      <c r="N36" s="354">
        <f>SUM(N5:N35)</f>
        <v>34.75</v>
      </c>
      <c r="O36" s="348"/>
      <c r="P36" s="349"/>
      <c r="Q36" s="348">
        <f>SUM(Q5:Q35)</f>
        <v>80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T40"/>
  <sheetViews>
    <sheetView topLeftCell="A2" zoomScale="70" zoomScaleNormal="70" workbookViewId="0">
      <selection activeCell="C41" sqref="C41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319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H5" s="340"/>
      <c r="I5" s="340"/>
      <c r="L5" s="338">
        <v>5.25</v>
      </c>
      <c r="N5" s="338">
        <v>4.5</v>
      </c>
      <c r="P5" s="340"/>
      <c r="Q5" s="338">
        <v>6.75</v>
      </c>
      <c r="S5" s="340"/>
      <c r="T5" s="343"/>
    </row>
    <row r="6" spans="1:20">
      <c r="A6" s="339">
        <v>2</v>
      </c>
      <c r="B6" s="340"/>
      <c r="C6" s="338">
        <v>7</v>
      </c>
      <c r="E6" s="338">
        <v>5</v>
      </c>
      <c r="H6" s="340"/>
      <c r="I6" s="340"/>
      <c r="P6" s="340"/>
      <c r="Q6" s="338">
        <v>5.5</v>
      </c>
      <c r="S6" s="340"/>
      <c r="T6" s="343"/>
    </row>
    <row r="7" spans="1:20">
      <c r="A7" s="339">
        <v>3</v>
      </c>
      <c r="B7" s="340"/>
      <c r="H7" s="340"/>
      <c r="I7" s="340"/>
      <c r="M7" s="338">
        <v>2</v>
      </c>
      <c r="P7" s="340"/>
      <c r="Q7" s="338">
        <v>6.25</v>
      </c>
      <c r="S7" s="340"/>
      <c r="T7" s="343"/>
    </row>
    <row r="8" spans="1:20">
      <c r="A8" s="339">
        <v>4</v>
      </c>
      <c r="B8" s="340"/>
      <c r="H8" s="340"/>
      <c r="I8" s="340"/>
      <c r="P8" s="340"/>
      <c r="S8" s="340"/>
      <c r="T8" s="343"/>
    </row>
    <row r="9" spans="1:20">
      <c r="A9" s="339">
        <v>5</v>
      </c>
      <c r="B9" s="340"/>
      <c r="C9" s="338">
        <v>5.5</v>
      </c>
      <c r="H9" s="340"/>
      <c r="I9" s="340"/>
      <c r="L9" s="338">
        <v>4.5</v>
      </c>
      <c r="M9" s="338">
        <v>2</v>
      </c>
      <c r="N9" s="338">
        <v>4.5</v>
      </c>
      <c r="P9" s="340"/>
      <c r="Q9" s="338">
        <v>6.75</v>
      </c>
      <c r="S9" s="340"/>
      <c r="T9" s="343"/>
    </row>
    <row r="10" spans="1:20">
      <c r="A10" s="339">
        <v>6</v>
      </c>
      <c r="B10" s="340"/>
      <c r="H10" s="340"/>
      <c r="I10" s="340"/>
      <c r="P10" s="340"/>
      <c r="Q10" s="338">
        <v>0.5</v>
      </c>
      <c r="S10" s="340"/>
      <c r="T10" s="343"/>
    </row>
    <row r="11" spans="1:20">
      <c r="A11" s="339">
        <v>7</v>
      </c>
      <c r="B11" s="340"/>
      <c r="H11" s="340"/>
      <c r="I11" s="340"/>
      <c r="P11" s="340"/>
      <c r="S11" s="340"/>
      <c r="T11" s="343"/>
    </row>
    <row r="12" spans="1:20">
      <c r="A12" s="339">
        <v>8</v>
      </c>
      <c r="B12" s="340"/>
      <c r="H12" s="340"/>
      <c r="I12" s="340"/>
      <c r="L12" s="338">
        <v>4.75</v>
      </c>
      <c r="M12" s="338">
        <v>3</v>
      </c>
      <c r="N12" s="338">
        <v>4.25</v>
      </c>
      <c r="P12" s="340"/>
      <c r="Q12" s="338">
        <v>6.75</v>
      </c>
      <c r="S12" s="340"/>
      <c r="T12" s="343"/>
    </row>
    <row r="13" spans="1:20">
      <c r="A13" s="339">
        <v>9</v>
      </c>
      <c r="B13" s="340"/>
      <c r="C13" s="338">
        <v>13</v>
      </c>
      <c r="D13" s="338">
        <v>9</v>
      </c>
      <c r="F13" s="338">
        <v>7</v>
      </c>
      <c r="H13" s="340"/>
      <c r="I13" s="340"/>
      <c r="P13" s="340"/>
      <c r="S13" s="340"/>
      <c r="T13" s="343"/>
    </row>
    <row r="14" spans="1:20">
      <c r="A14" s="339">
        <v>10</v>
      </c>
      <c r="B14" s="340"/>
      <c r="G14" s="338">
        <v>1.25</v>
      </c>
      <c r="H14" s="340"/>
      <c r="I14" s="340"/>
      <c r="M14" s="338">
        <v>2.5</v>
      </c>
      <c r="P14" s="340"/>
      <c r="Q14" s="338">
        <v>6.25</v>
      </c>
      <c r="S14" s="340"/>
      <c r="T14" s="343"/>
    </row>
    <row r="15" spans="1:20">
      <c r="A15" s="339">
        <v>11</v>
      </c>
      <c r="B15" s="340"/>
      <c r="G15" s="338">
        <v>1.25</v>
      </c>
      <c r="H15" s="340"/>
      <c r="I15" s="340"/>
      <c r="P15" s="340"/>
      <c r="S15" s="340"/>
      <c r="T15" s="343"/>
    </row>
    <row r="16" spans="1:20">
      <c r="A16" s="339">
        <v>12</v>
      </c>
      <c r="B16" s="340"/>
      <c r="C16" s="338">
        <v>6.25</v>
      </c>
      <c r="H16" s="340"/>
      <c r="I16" s="340"/>
      <c r="J16" s="338">
        <v>8.5</v>
      </c>
      <c r="L16" s="338">
        <v>4.5</v>
      </c>
      <c r="M16" s="338">
        <v>0.5</v>
      </c>
      <c r="P16" s="340"/>
      <c r="Q16" s="338">
        <v>7</v>
      </c>
      <c r="S16" s="340"/>
      <c r="T16" s="343"/>
    </row>
    <row r="17" spans="1:20">
      <c r="A17" s="339">
        <v>13</v>
      </c>
      <c r="B17" s="340"/>
      <c r="G17" s="338">
        <v>1.25</v>
      </c>
      <c r="H17" s="340"/>
      <c r="I17" s="340"/>
      <c r="J17" s="338">
        <v>7</v>
      </c>
      <c r="P17" s="340"/>
      <c r="Q17" s="338">
        <v>0.5</v>
      </c>
      <c r="S17" s="340"/>
      <c r="T17" s="343"/>
    </row>
    <row r="18" spans="1:20">
      <c r="A18" s="339">
        <v>14</v>
      </c>
      <c r="B18" s="340"/>
      <c r="H18" s="340"/>
      <c r="I18" s="340"/>
      <c r="P18" s="340"/>
      <c r="S18" s="340"/>
      <c r="T18" s="343"/>
    </row>
    <row r="19" spans="1:20">
      <c r="A19" s="339">
        <v>15</v>
      </c>
      <c r="B19" s="340"/>
      <c r="H19" s="340"/>
      <c r="I19" s="340"/>
      <c r="L19" s="338">
        <v>4.75</v>
      </c>
      <c r="P19" s="340"/>
      <c r="Q19" s="338">
        <v>6.5</v>
      </c>
      <c r="S19" s="340"/>
      <c r="T19" s="343"/>
    </row>
    <row r="20" spans="1:20">
      <c r="A20" s="339">
        <v>16</v>
      </c>
      <c r="B20" s="340"/>
      <c r="C20" s="338">
        <v>8.5</v>
      </c>
      <c r="E20" s="338">
        <v>7.5</v>
      </c>
      <c r="H20" s="340"/>
      <c r="I20" s="340"/>
      <c r="P20" s="340"/>
      <c r="Q20" s="338">
        <v>6</v>
      </c>
      <c r="S20" s="340"/>
      <c r="T20" s="343"/>
    </row>
    <row r="21" spans="1:20">
      <c r="A21" s="339">
        <v>17</v>
      </c>
      <c r="B21" s="340"/>
      <c r="H21" s="340"/>
      <c r="I21" s="340"/>
      <c r="P21" s="340"/>
      <c r="S21" s="340"/>
      <c r="T21" s="343"/>
    </row>
    <row r="22" spans="1:20">
      <c r="A22" s="339">
        <v>18</v>
      </c>
      <c r="B22" s="340"/>
      <c r="H22" s="340"/>
      <c r="I22" s="340"/>
      <c r="P22" s="340"/>
      <c r="S22" s="340"/>
      <c r="T22" s="343"/>
    </row>
    <row r="23" spans="1:20">
      <c r="A23" s="339">
        <v>19</v>
      </c>
      <c r="B23" s="340"/>
      <c r="H23" s="340"/>
      <c r="I23" s="340"/>
      <c r="J23" s="338">
        <v>9</v>
      </c>
      <c r="L23" s="338">
        <v>4.75</v>
      </c>
      <c r="N23" s="338">
        <v>4.5</v>
      </c>
      <c r="P23" s="340"/>
      <c r="Q23" s="338">
        <v>7</v>
      </c>
      <c r="S23" s="340"/>
      <c r="T23" s="343"/>
    </row>
    <row r="24" spans="1:20">
      <c r="A24" s="339">
        <v>20</v>
      </c>
      <c r="B24" s="340"/>
      <c r="H24" s="340"/>
      <c r="I24" s="340"/>
      <c r="P24" s="340"/>
      <c r="Q24" s="338">
        <v>0.5</v>
      </c>
      <c r="S24" s="340"/>
      <c r="T24" s="343"/>
    </row>
    <row r="25" spans="1:20">
      <c r="A25" s="339">
        <v>21</v>
      </c>
      <c r="B25" s="340"/>
      <c r="H25" s="340"/>
      <c r="I25" s="340"/>
      <c r="P25" s="340"/>
      <c r="S25" s="340"/>
      <c r="T25" s="343"/>
    </row>
    <row r="26" spans="1:20">
      <c r="A26" s="339">
        <v>22</v>
      </c>
      <c r="B26" s="340"/>
      <c r="H26" s="340"/>
      <c r="I26" s="340"/>
      <c r="L26" s="338">
        <v>4.5</v>
      </c>
      <c r="N26" s="338">
        <v>4.25</v>
      </c>
      <c r="P26" s="340"/>
      <c r="Q26" s="338">
        <v>6.75</v>
      </c>
      <c r="S26" s="340"/>
      <c r="T26" s="343"/>
    </row>
    <row r="27" spans="1:20">
      <c r="A27" s="339">
        <v>23</v>
      </c>
      <c r="B27" s="340"/>
      <c r="C27" s="338">
        <v>10</v>
      </c>
      <c r="D27" s="338">
        <v>8.5</v>
      </c>
      <c r="F27" s="338">
        <v>8.5</v>
      </c>
      <c r="H27" s="340"/>
      <c r="I27" s="340"/>
      <c r="P27" s="340"/>
      <c r="Q27" s="338">
        <v>0.5</v>
      </c>
      <c r="S27" s="340"/>
      <c r="T27" s="343"/>
    </row>
    <row r="28" spans="1:20">
      <c r="A28" s="339">
        <v>24</v>
      </c>
      <c r="B28" s="340"/>
      <c r="H28" s="340"/>
      <c r="I28" s="340"/>
      <c r="P28" s="340"/>
      <c r="S28" s="340"/>
      <c r="T28" s="343"/>
    </row>
    <row r="29" spans="1:20">
      <c r="A29" s="339">
        <v>25</v>
      </c>
      <c r="B29" s="340"/>
      <c r="H29" s="340"/>
      <c r="I29" s="340"/>
      <c r="P29" s="340"/>
      <c r="S29" s="340"/>
      <c r="T29" s="343"/>
    </row>
    <row r="30" spans="1:20">
      <c r="A30" s="339">
        <v>26</v>
      </c>
      <c r="B30" s="340"/>
      <c r="C30" s="338">
        <v>5.5</v>
      </c>
      <c r="H30" s="340"/>
      <c r="I30" s="340"/>
      <c r="L30" s="338">
        <v>4.75</v>
      </c>
      <c r="M30" s="338">
        <v>4</v>
      </c>
      <c r="N30" s="338">
        <v>4</v>
      </c>
      <c r="P30" s="340"/>
      <c r="Q30" s="338">
        <v>7</v>
      </c>
      <c r="S30" s="340"/>
      <c r="T30" s="343"/>
    </row>
    <row r="31" spans="1:20">
      <c r="A31" s="339">
        <v>27</v>
      </c>
      <c r="B31" s="340"/>
      <c r="H31" s="340"/>
      <c r="I31" s="340"/>
      <c r="P31" s="340"/>
      <c r="Q31" s="338">
        <v>0.5</v>
      </c>
      <c r="S31" s="340"/>
      <c r="T31" s="343"/>
    </row>
    <row r="32" spans="1:20">
      <c r="A32" s="339">
        <v>28</v>
      </c>
      <c r="B32" s="340"/>
      <c r="H32" s="340"/>
      <c r="I32" s="340"/>
      <c r="M32" s="338">
        <v>3</v>
      </c>
      <c r="P32" s="340"/>
      <c r="Q32" s="338">
        <v>6</v>
      </c>
      <c r="S32" s="340"/>
      <c r="T32" s="343"/>
    </row>
    <row r="33" spans="1:20">
      <c r="A33" s="339">
        <v>29</v>
      </c>
      <c r="B33" s="340"/>
      <c r="H33" s="340"/>
      <c r="I33" s="340"/>
      <c r="L33" s="338">
        <v>4.75</v>
      </c>
      <c r="N33" s="338">
        <v>4.25</v>
      </c>
      <c r="P33" s="340"/>
      <c r="Q33" s="338">
        <v>6.5</v>
      </c>
      <c r="S33" s="340"/>
      <c r="T33" s="343"/>
    </row>
    <row r="34" spans="1:20">
      <c r="A34" s="339">
        <v>30</v>
      </c>
      <c r="B34" s="340"/>
      <c r="C34" s="338">
        <v>8</v>
      </c>
      <c r="D34" s="338">
        <v>4.5</v>
      </c>
      <c r="H34" s="340"/>
      <c r="I34" s="340"/>
      <c r="P34" s="340"/>
      <c r="Q34" s="338">
        <v>0.75</v>
      </c>
      <c r="S34" s="340"/>
      <c r="T34" s="343"/>
    </row>
    <row r="35" spans="1:20">
      <c r="A35" s="339">
        <v>31</v>
      </c>
      <c r="B35" s="340"/>
      <c r="H35" s="340"/>
      <c r="I35" s="340"/>
      <c r="P35" s="340"/>
      <c r="Q35" s="338">
        <v>2</v>
      </c>
      <c r="S35" s="340"/>
      <c r="T35" s="343"/>
    </row>
    <row r="36" spans="1:20" ht="15.75" thickBot="1">
      <c r="A36" s="348"/>
      <c r="B36" s="349"/>
      <c r="C36" s="350">
        <f>SUM(C5:C35)</f>
        <v>63.75</v>
      </c>
      <c r="D36" s="351">
        <f>SUM(D5:D35)</f>
        <v>22</v>
      </c>
      <c r="E36" s="350">
        <f>SUM(E5:E35)</f>
        <v>12.5</v>
      </c>
      <c r="F36" s="351">
        <f>SUM(F5:F35)</f>
        <v>15.5</v>
      </c>
      <c r="G36" s="352">
        <f>SUM(G5:G35)</f>
        <v>3.75</v>
      </c>
      <c r="H36" s="349"/>
      <c r="I36" s="349"/>
      <c r="J36" s="353">
        <f>SUM(J5:J35)</f>
        <v>24.5</v>
      </c>
      <c r="K36" s="353">
        <f>SUM(K5:K35)</f>
        <v>0</v>
      </c>
      <c r="L36" s="354">
        <f>SUM(L5:L35)</f>
        <v>42.5</v>
      </c>
      <c r="M36" s="354">
        <f>SUM(M5:M35)</f>
        <v>17</v>
      </c>
      <c r="N36" s="354">
        <f>SUM(N5:N35)</f>
        <v>30.25</v>
      </c>
      <c r="O36" s="348"/>
      <c r="P36" s="349"/>
      <c r="Q36" s="348">
        <f>SUM(Q5:Q35)</f>
        <v>96.25</v>
      </c>
      <c r="R36" s="348"/>
      <c r="S36" s="349"/>
      <c r="T36" s="355"/>
    </row>
    <row r="37" spans="1:20" ht="15.75" thickTop="1"/>
    <row r="40" spans="1:20">
      <c r="C40" s="338" t="s">
        <v>333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T40"/>
  <sheetViews>
    <sheetView zoomScale="70" zoomScaleNormal="70" workbookViewId="0">
      <selection activeCell="C40" sqref="C40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236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 ht="5.25" customHeight="1" thickBot="1">
      <c r="A4" s="359"/>
      <c r="B4" s="349"/>
      <c r="C4" s="348"/>
      <c r="D4" s="348"/>
      <c r="E4" s="348"/>
      <c r="F4" s="348"/>
      <c r="G4" s="348"/>
      <c r="H4" s="349"/>
      <c r="I4" s="349"/>
      <c r="J4" s="348"/>
      <c r="K4" s="348"/>
      <c r="L4" s="348"/>
      <c r="M4" s="348"/>
      <c r="N4" s="348"/>
      <c r="O4" s="348"/>
      <c r="P4" s="349"/>
      <c r="Q4" s="348"/>
      <c r="R4" s="348"/>
      <c r="S4" s="349"/>
      <c r="T4" s="355"/>
    </row>
    <row r="5" spans="1:20" ht="15.75" thickTop="1">
      <c r="A5" s="339">
        <v>1</v>
      </c>
      <c r="B5" s="340"/>
      <c r="H5" s="340"/>
      <c r="I5" s="340"/>
      <c r="P5" s="340"/>
      <c r="S5" s="340"/>
      <c r="T5" s="343"/>
    </row>
    <row r="6" spans="1:20">
      <c r="A6" s="339">
        <v>2</v>
      </c>
      <c r="B6" s="340"/>
      <c r="C6" s="338">
        <v>5.75</v>
      </c>
      <c r="H6" s="340"/>
      <c r="I6" s="340"/>
      <c r="J6" s="338">
        <v>5.5</v>
      </c>
      <c r="N6" s="338">
        <v>1.75</v>
      </c>
      <c r="P6" s="340"/>
      <c r="Q6" s="338">
        <v>6.5</v>
      </c>
      <c r="S6" s="340"/>
      <c r="T6" s="343"/>
    </row>
    <row r="7" spans="1:20">
      <c r="A7" s="339">
        <v>3</v>
      </c>
      <c r="B7" s="340"/>
      <c r="G7" s="338">
        <v>1.25</v>
      </c>
      <c r="H7" s="340"/>
      <c r="I7" s="340"/>
      <c r="P7" s="340"/>
      <c r="Q7" s="338">
        <v>0.5</v>
      </c>
      <c r="S7" s="340"/>
      <c r="T7" s="343"/>
    </row>
    <row r="8" spans="1:20">
      <c r="A8" s="339">
        <v>4</v>
      </c>
      <c r="B8" s="340"/>
      <c r="H8" s="340"/>
      <c r="I8" s="340"/>
      <c r="P8" s="340"/>
      <c r="S8" s="340"/>
      <c r="T8" s="343"/>
    </row>
    <row r="9" spans="1:20">
      <c r="A9" s="339">
        <v>5</v>
      </c>
      <c r="B9" s="340"/>
      <c r="H9" s="340"/>
      <c r="I9" s="340"/>
      <c r="L9" s="338">
        <v>4.75</v>
      </c>
      <c r="M9" s="338">
        <v>4.5</v>
      </c>
      <c r="P9" s="340"/>
      <c r="Q9" s="338">
        <v>0.5</v>
      </c>
      <c r="S9" s="340"/>
      <c r="T9" s="343"/>
    </row>
    <row r="10" spans="1:20">
      <c r="A10" s="339">
        <v>6</v>
      </c>
      <c r="B10" s="340"/>
      <c r="C10" s="338">
        <v>11.25</v>
      </c>
      <c r="D10" s="338">
        <v>8.5</v>
      </c>
      <c r="F10" s="338">
        <v>8.25</v>
      </c>
      <c r="H10" s="340"/>
      <c r="I10" s="340"/>
      <c r="P10" s="340"/>
      <c r="Q10" s="338">
        <v>7</v>
      </c>
      <c r="S10" s="340"/>
      <c r="T10" s="343"/>
    </row>
    <row r="11" spans="1:20">
      <c r="A11" s="339">
        <v>7</v>
      </c>
      <c r="B11" s="340"/>
      <c r="H11" s="340"/>
      <c r="I11" s="340"/>
      <c r="J11" s="338">
        <v>2</v>
      </c>
      <c r="L11" s="338">
        <v>5.75</v>
      </c>
      <c r="M11" s="338">
        <v>6.25</v>
      </c>
      <c r="P11" s="340"/>
      <c r="Q11" s="338">
        <v>6</v>
      </c>
      <c r="S11" s="340"/>
      <c r="T11" s="343"/>
    </row>
    <row r="12" spans="1:20">
      <c r="A12" s="339">
        <v>8</v>
      </c>
      <c r="B12" s="340"/>
      <c r="G12" s="338">
        <v>6.5</v>
      </c>
      <c r="H12" s="340"/>
      <c r="I12" s="340"/>
      <c r="P12" s="340"/>
      <c r="S12" s="340"/>
      <c r="T12" s="343"/>
    </row>
    <row r="13" spans="1:20">
      <c r="A13" s="339">
        <v>9</v>
      </c>
      <c r="B13" s="340"/>
      <c r="C13" s="338">
        <v>5.5</v>
      </c>
      <c r="H13" s="340"/>
      <c r="I13" s="340"/>
      <c r="L13" s="338">
        <v>4.75</v>
      </c>
      <c r="N13" s="338">
        <v>4.5</v>
      </c>
      <c r="P13" s="340"/>
      <c r="Q13" s="338">
        <v>6.75</v>
      </c>
      <c r="S13" s="340"/>
      <c r="T13" s="343"/>
    </row>
    <row r="14" spans="1:20">
      <c r="A14" s="339">
        <v>10</v>
      </c>
      <c r="B14" s="340"/>
      <c r="H14" s="340"/>
      <c r="I14" s="340"/>
      <c r="P14" s="340"/>
      <c r="Q14" s="338">
        <v>0.5</v>
      </c>
      <c r="S14" s="340"/>
      <c r="T14" s="343"/>
    </row>
    <row r="15" spans="1:20">
      <c r="A15" s="339">
        <v>11</v>
      </c>
      <c r="B15" s="340"/>
      <c r="G15" s="338">
        <v>1.25</v>
      </c>
      <c r="H15" s="340"/>
      <c r="I15" s="340"/>
      <c r="P15" s="340"/>
      <c r="S15" s="340"/>
      <c r="T15" s="343"/>
    </row>
    <row r="16" spans="1:20">
      <c r="A16" s="339">
        <v>12</v>
      </c>
      <c r="B16" s="340"/>
      <c r="H16" s="340"/>
      <c r="I16" s="340"/>
      <c r="L16" s="338">
        <v>4.5</v>
      </c>
      <c r="M16" s="338">
        <v>1.5</v>
      </c>
      <c r="N16" s="338">
        <v>0.75</v>
      </c>
      <c r="P16" s="340"/>
      <c r="Q16" s="338">
        <v>6.5</v>
      </c>
      <c r="S16" s="340"/>
      <c r="T16" s="343"/>
    </row>
    <row r="17" spans="1:20">
      <c r="A17" s="339">
        <v>13</v>
      </c>
      <c r="B17" s="340"/>
      <c r="C17" s="338">
        <v>6.5</v>
      </c>
      <c r="E17" s="338">
        <v>4.5</v>
      </c>
      <c r="H17" s="340"/>
      <c r="I17" s="340"/>
      <c r="P17" s="340"/>
      <c r="Q17" s="338">
        <v>2.5</v>
      </c>
      <c r="S17" s="340"/>
      <c r="T17" s="343"/>
    </row>
    <row r="18" spans="1:20">
      <c r="A18" s="339">
        <v>14</v>
      </c>
      <c r="B18" s="340"/>
      <c r="H18" s="340"/>
      <c r="I18" s="340"/>
      <c r="J18" s="338">
        <v>6.5</v>
      </c>
      <c r="P18" s="340"/>
      <c r="S18" s="340"/>
      <c r="T18" s="343"/>
    </row>
    <row r="19" spans="1:20">
      <c r="A19" s="339">
        <v>15</v>
      </c>
      <c r="B19" s="340"/>
      <c r="G19" s="338">
        <v>1.75</v>
      </c>
      <c r="H19" s="340"/>
      <c r="I19" s="340"/>
      <c r="P19" s="340"/>
      <c r="S19" s="340"/>
      <c r="T19" s="343"/>
    </row>
    <row r="20" spans="1:20">
      <c r="A20" s="339">
        <v>16</v>
      </c>
      <c r="B20" s="340"/>
      <c r="C20" s="338">
        <v>4.5</v>
      </c>
      <c r="H20" s="340"/>
      <c r="I20" s="340"/>
      <c r="L20" s="338">
        <v>4.75</v>
      </c>
      <c r="N20" s="338">
        <v>4.5</v>
      </c>
      <c r="P20" s="340"/>
      <c r="Q20" s="338">
        <v>7</v>
      </c>
      <c r="S20" s="340"/>
      <c r="T20" s="343"/>
    </row>
    <row r="21" spans="1:20">
      <c r="A21" s="339">
        <v>17</v>
      </c>
      <c r="B21" s="340"/>
      <c r="H21" s="340"/>
      <c r="I21" s="340"/>
      <c r="P21" s="340"/>
      <c r="Q21" s="338">
        <v>0.5</v>
      </c>
      <c r="S21" s="340"/>
      <c r="T21" s="343"/>
    </row>
    <row r="22" spans="1:20">
      <c r="A22" s="339">
        <v>18</v>
      </c>
      <c r="B22" s="340"/>
      <c r="H22" s="340"/>
      <c r="I22" s="340"/>
      <c r="P22" s="340"/>
      <c r="S22" s="340"/>
      <c r="T22" s="343"/>
    </row>
    <row r="23" spans="1:20">
      <c r="A23" s="339">
        <v>19</v>
      </c>
      <c r="B23" s="340"/>
      <c r="G23" s="338">
        <v>1.25</v>
      </c>
      <c r="H23" s="340"/>
      <c r="I23" s="340"/>
      <c r="L23" s="338">
        <v>4.75</v>
      </c>
      <c r="N23" s="338">
        <v>4.25</v>
      </c>
      <c r="P23" s="340"/>
      <c r="Q23" s="338">
        <v>6.75</v>
      </c>
      <c r="S23" s="340"/>
      <c r="T23" s="343"/>
    </row>
    <row r="24" spans="1:20">
      <c r="A24" s="339">
        <v>20</v>
      </c>
      <c r="B24" s="340"/>
      <c r="C24" s="338">
        <v>10.5</v>
      </c>
      <c r="D24" s="338">
        <v>8.5</v>
      </c>
      <c r="F24" s="338">
        <v>8.5</v>
      </c>
      <c r="H24" s="340"/>
      <c r="I24" s="340"/>
      <c r="P24" s="340"/>
      <c r="Q24" s="338">
        <v>0.5</v>
      </c>
      <c r="S24" s="340"/>
      <c r="T24" s="343"/>
    </row>
    <row r="25" spans="1:20">
      <c r="A25" s="339">
        <v>21</v>
      </c>
      <c r="B25" s="340"/>
      <c r="H25" s="340"/>
      <c r="I25" s="340"/>
      <c r="P25" s="340"/>
      <c r="S25" s="340"/>
      <c r="T25" s="343"/>
    </row>
    <row r="26" spans="1:20">
      <c r="A26" s="339">
        <v>22</v>
      </c>
      <c r="B26" s="340"/>
      <c r="H26" s="340"/>
      <c r="I26" s="340"/>
      <c r="P26" s="340"/>
      <c r="Q26" s="338">
        <v>6.25</v>
      </c>
      <c r="S26" s="340"/>
      <c r="T26" s="343"/>
    </row>
    <row r="27" spans="1:20">
      <c r="A27" s="339">
        <v>23</v>
      </c>
      <c r="B27" s="340"/>
      <c r="C27" s="338">
        <v>4.25</v>
      </c>
      <c r="H27" s="340"/>
      <c r="I27" s="340"/>
      <c r="P27" s="340"/>
      <c r="Q27" s="338">
        <v>5.25</v>
      </c>
      <c r="S27" s="340"/>
      <c r="T27" s="343"/>
    </row>
    <row r="28" spans="1:20">
      <c r="A28" s="339">
        <v>24</v>
      </c>
      <c r="B28" s="340"/>
      <c r="H28" s="340"/>
      <c r="I28" s="340"/>
      <c r="P28" s="340"/>
      <c r="Q28" s="338">
        <v>5.5</v>
      </c>
      <c r="S28" s="340"/>
      <c r="T28" s="343"/>
    </row>
    <row r="29" spans="1:20">
      <c r="A29" s="339">
        <v>25</v>
      </c>
      <c r="B29" s="340"/>
      <c r="H29" s="340"/>
      <c r="I29" s="340"/>
      <c r="M29" s="338">
        <v>3</v>
      </c>
      <c r="P29" s="340"/>
      <c r="S29" s="340"/>
      <c r="T29" s="343"/>
    </row>
    <row r="30" spans="1:20">
      <c r="A30" s="339">
        <v>26</v>
      </c>
      <c r="B30" s="340"/>
      <c r="G30" s="338">
        <v>1.25</v>
      </c>
      <c r="H30" s="340"/>
      <c r="I30" s="340"/>
      <c r="L30" s="338">
        <v>4.75</v>
      </c>
      <c r="M30" s="338">
        <v>0.5</v>
      </c>
      <c r="N30" s="338">
        <v>4.5</v>
      </c>
      <c r="P30" s="340"/>
      <c r="Q30" s="338">
        <v>6.75</v>
      </c>
      <c r="S30" s="340"/>
      <c r="T30" s="343"/>
    </row>
    <row r="31" spans="1:20">
      <c r="A31" s="339">
        <v>27</v>
      </c>
      <c r="B31" s="340"/>
      <c r="C31" s="338">
        <v>6.5</v>
      </c>
      <c r="E31" s="338">
        <v>4.75</v>
      </c>
      <c r="H31" s="340"/>
      <c r="I31" s="340"/>
      <c r="J31" s="338">
        <v>4</v>
      </c>
      <c r="P31" s="340"/>
      <c r="Q31" s="338" t="s">
        <v>320</v>
      </c>
      <c r="S31" s="340"/>
      <c r="T31" s="343"/>
    </row>
    <row r="32" spans="1:20">
      <c r="A32" s="339">
        <v>28</v>
      </c>
      <c r="B32" s="340"/>
      <c r="H32" s="340"/>
      <c r="I32" s="340"/>
      <c r="K32" s="338">
        <v>5</v>
      </c>
      <c r="P32" s="340"/>
      <c r="Q32" s="338">
        <v>0.5</v>
      </c>
      <c r="S32" s="340"/>
      <c r="T32" s="343"/>
    </row>
    <row r="33" spans="1:20">
      <c r="A33" s="339">
        <v>29</v>
      </c>
      <c r="B33" s="340"/>
      <c r="G33" s="338">
        <v>1.25</v>
      </c>
      <c r="H33" s="340"/>
      <c r="I33" s="340"/>
      <c r="P33" s="340"/>
      <c r="S33" s="340"/>
      <c r="T33" s="343"/>
    </row>
    <row r="34" spans="1:20">
      <c r="A34" s="339">
        <v>30</v>
      </c>
      <c r="B34" s="340"/>
      <c r="C34" s="338">
        <v>5.5</v>
      </c>
      <c r="H34" s="340"/>
      <c r="I34" s="340"/>
      <c r="L34" s="338">
        <v>4.75</v>
      </c>
      <c r="M34" s="338">
        <v>2</v>
      </c>
      <c r="N34" s="338">
        <v>4.5</v>
      </c>
      <c r="P34" s="340"/>
      <c r="Q34" s="338">
        <v>5</v>
      </c>
      <c r="S34" s="340"/>
      <c r="T34" s="343"/>
    </row>
    <row r="35" spans="1:20">
      <c r="A35" s="339">
        <v>31</v>
      </c>
      <c r="B35" s="340"/>
      <c r="H35" s="340"/>
      <c r="I35" s="340"/>
      <c r="P35" s="340"/>
      <c r="S35" s="340"/>
      <c r="T35" s="343"/>
    </row>
    <row r="36" spans="1:20" ht="15.75" thickBot="1">
      <c r="A36" s="348"/>
      <c r="B36" s="349"/>
      <c r="C36" s="350">
        <f>SUM(C5:C35)</f>
        <v>60.25</v>
      </c>
      <c r="D36" s="351">
        <f>SUM(D5:D35)</f>
        <v>17</v>
      </c>
      <c r="E36" s="350">
        <f>SUM(E5:E35)</f>
        <v>9.25</v>
      </c>
      <c r="F36" s="351">
        <f>SUM(F5:F35)</f>
        <v>16.75</v>
      </c>
      <c r="G36" s="352">
        <f>SUM(G5:G35)</f>
        <v>14.5</v>
      </c>
      <c r="H36" s="349"/>
      <c r="I36" s="349"/>
      <c r="J36" s="353">
        <f>SUM(J5:J35)</f>
        <v>18</v>
      </c>
      <c r="K36" s="353">
        <f>SUM(K5:K35)</f>
        <v>5</v>
      </c>
      <c r="L36" s="354">
        <f>SUM(L5:L35)</f>
        <v>38.75</v>
      </c>
      <c r="M36" s="354">
        <f>SUM(M5:M35)</f>
        <v>17.75</v>
      </c>
      <c r="N36" s="354">
        <f>SUM(N5:N35)</f>
        <v>24.75</v>
      </c>
      <c r="O36" s="348"/>
      <c r="P36" s="349"/>
      <c r="Q36" s="348">
        <f>SUM(Q5:Q35)</f>
        <v>80.75</v>
      </c>
      <c r="R36" s="348"/>
      <c r="S36" s="349"/>
      <c r="T36" s="355"/>
    </row>
    <row r="37" spans="1:20" ht="15.75" thickTop="1"/>
    <row r="40" spans="1:20">
      <c r="C40" s="338" t="s">
        <v>333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T41"/>
  <sheetViews>
    <sheetView topLeftCell="A2" zoomScale="70" zoomScaleNormal="70" workbookViewId="0">
      <selection activeCell="C42" sqref="C42"/>
    </sheetView>
  </sheetViews>
  <sheetFormatPr defaultColWidth="8.88671875" defaultRowHeight="15"/>
  <cols>
    <col min="1" max="1" width="8.88671875" style="338"/>
    <col min="2" max="2" width="0.6640625" style="341" customWidth="1"/>
    <col min="3" max="8" width="8.88671875" style="338"/>
    <col min="9" max="9" width="0.6640625" style="338" customWidth="1"/>
    <col min="10" max="15" width="8.88671875" style="338"/>
    <col min="16" max="16" width="0.6640625" style="338" customWidth="1"/>
    <col min="17" max="18" width="8.88671875" style="338"/>
    <col min="19" max="19" width="0.6640625" style="338" customWidth="1"/>
    <col min="20" max="16384" width="8.88671875" style="338"/>
  </cols>
  <sheetData>
    <row r="1" spans="1:20" ht="15.75" thickTop="1">
      <c r="A1" s="335" t="s">
        <v>237</v>
      </c>
      <c r="B1" s="336"/>
      <c r="C1" s="335"/>
      <c r="D1" s="335" t="s">
        <v>299</v>
      </c>
      <c r="E1" s="335"/>
      <c r="F1" s="335"/>
      <c r="G1" s="335"/>
      <c r="H1" s="335"/>
      <c r="I1" s="336"/>
      <c r="J1" s="335"/>
      <c r="K1" s="335"/>
      <c r="L1" s="335"/>
      <c r="M1" s="335" t="s">
        <v>300</v>
      </c>
      <c r="N1" s="335"/>
      <c r="O1" s="335"/>
      <c r="P1" s="336"/>
      <c r="Q1" s="335"/>
      <c r="R1" s="335" t="s">
        <v>301</v>
      </c>
      <c r="S1" s="335"/>
      <c r="T1" s="337"/>
    </row>
    <row r="2" spans="1:20">
      <c r="A2" s="339"/>
      <c r="B2" s="340"/>
      <c r="H2" s="340"/>
      <c r="I2" s="340"/>
      <c r="P2" s="340"/>
      <c r="S2" s="342"/>
      <c r="T2" s="343"/>
    </row>
    <row r="3" spans="1:20">
      <c r="A3" s="339"/>
      <c r="B3" s="340"/>
      <c r="C3" s="344" t="s">
        <v>313</v>
      </c>
      <c r="D3" s="344" t="s">
        <v>314</v>
      </c>
      <c r="E3" s="344" t="s">
        <v>304</v>
      </c>
      <c r="F3" s="344" t="s">
        <v>305</v>
      </c>
      <c r="G3" s="344" t="s">
        <v>306</v>
      </c>
      <c r="H3" s="345" t="s">
        <v>185</v>
      </c>
      <c r="I3" s="345"/>
      <c r="J3" s="344" t="s">
        <v>311</v>
      </c>
      <c r="K3" s="344" t="s">
        <v>308</v>
      </c>
      <c r="L3" s="344" t="s">
        <v>308</v>
      </c>
      <c r="M3" s="344" t="s">
        <v>308</v>
      </c>
      <c r="N3" s="344" t="s">
        <v>309</v>
      </c>
      <c r="O3" s="344" t="s">
        <v>185</v>
      </c>
      <c r="P3" s="345"/>
      <c r="Q3" s="344" t="s">
        <v>310</v>
      </c>
      <c r="R3" s="344" t="s">
        <v>310</v>
      </c>
      <c r="S3" s="345"/>
      <c r="T3" s="347" t="s">
        <v>185</v>
      </c>
    </row>
    <row r="4" spans="1:20">
      <c r="A4" s="339"/>
      <c r="B4" s="340"/>
      <c r="H4" s="340"/>
      <c r="I4" s="340"/>
      <c r="P4" s="340"/>
      <c r="S4" s="340"/>
      <c r="T4" s="343"/>
    </row>
    <row r="5" spans="1:20">
      <c r="A5" s="339">
        <v>1</v>
      </c>
      <c r="B5" s="340"/>
      <c r="H5" s="340"/>
      <c r="I5" s="340"/>
      <c r="P5" s="340"/>
      <c r="Q5" s="338">
        <v>0.5</v>
      </c>
      <c r="S5" s="340"/>
      <c r="T5" s="343"/>
    </row>
    <row r="6" spans="1:20">
      <c r="A6" s="339">
        <v>2</v>
      </c>
      <c r="B6" s="340"/>
      <c r="H6" s="340"/>
      <c r="I6" s="340"/>
      <c r="P6" s="340"/>
      <c r="S6" s="340"/>
      <c r="T6" s="343"/>
    </row>
    <row r="7" spans="1:20">
      <c r="A7" s="339">
        <v>3</v>
      </c>
      <c r="B7" s="340"/>
      <c r="H7" s="340"/>
      <c r="I7" s="340"/>
      <c r="L7" s="338">
        <v>4.5</v>
      </c>
      <c r="N7" s="338">
        <v>4.5</v>
      </c>
      <c r="P7" s="340"/>
      <c r="Q7" s="338">
        <v>6.75</v>
      </c>
      <c r="S7" s="340"/>
      <c r="T7" s="343"/>
    </row>
    <row r="8" spans="1:20">
      <c r="A8" s="339">
        <v>4</v>
      </c>
      <c r="B8" s="340"/>
      <c r="C8" s="338">
        <v>7.25</v>
      </c>
      <c r="D8" s="338">
        <v>9</v>
      </c>
      <c r="F8" s="338">
        <v>7.5</v>
      </c>
      <c r="H8" s="340"/>
      <c r="I8" s="340"/>
      <c r="P8" s="340"/>
      <c r="Q8" s="338">
        <v>0.5</v>
      </c>
      <c r="S8" s="340"/>
      <c r="T8" s="343"/>
    </row>
    <row r="9" spans="1:20">
      <c r="A9" s="339">
        <v>5</v>
      </c>
      <c r="B9" s="340"/>
      <c r="H9" s="340"/>
      <c r="I9" s="340"/>
      <c r="J9" s="338">
        <v>5</v>
      </c>
      <c r="P9" s="340"/>
      <c r="S9" s="340"/>
      <c r="T9" s="343"/>
    </row>
    <row r="10" spans="1:20">
      <c r="A10" s="339">
        <v>6</v>
      </c>
      <c r="B10" s="340"/>
      <c r="H10" s="340"/>
      <c r="I10" s="340"/>
      <c r="J10" s="338">
        <v>5</v>
      </c>
      <c r="P10" s="340"/>
      <c r="S10" s="340"/>
      <c r="T10" s="343"/>
    </row>
    <row r="11" spans="1:20">
      <c r="A11" s="339">
        <v>7</v>
      </c>
      <c r="B11" s="340"/>
      <c r="C11" s="338">
        <v>5.75</v>
      </c>
      <c r="H11" s="340"/>
      <c r="I11" s="340"/>
      <c r="K11" s="338">
        <v>1</v>
      </c>
      <c r="L11" s="338">
        <v>4.75</v>
      </c>
      <c r="N11" s="338">
        <v>4.75</v>
      </c>
      <c r="P11" s="340"/>
      <c r="Q11" s="338">
        <v>6.5</v>
      </c>
      <c r="S11" s="340"/>
      <c r="T11" s="343"/>
    </row>
    <row r="12" spans="1:20">
      <c r="A12" s="339">
        <v>8</v>
      </c>
      <c r="B12" s="340"/>
      <c r="H12" s="340"/>
      <c r="I12" s="340"/>
      <c r="P12" s="340"/>
      <c r="Q12" s="338">
        <v>0.5</v>
      </c>
      <c r="S12" s="340"/>
      <c r="T12" s="343"/>
    </row>
    <row r="13" spans="1:20">
      <c r="A13" s="339">
        <v>9</v>
      </c>
      <c r="B13" s="340"/>
      <c r="H13" s="340"/>
      <c r="I13" s="340"/>
      <c r="P13" s="340"/>
      <c r="S13" s="340"/>
      <c r="T13" s="343"/>
    </row>
    <row r="14" spans="1:20">
      <c r="A14" s="339">
        <v>10</v>
      </c>
      <c r="B14" s="340"/>
      <c r="H14" s="340"/>
      <c r="I14" s="340"/>
      <c r="N14" s="338">
        <v>4.25</v>
      </c>
      <c r="P14" s="340"/>
      <c r="Q14" s="338">
        <v>6.5</v>
      </c>
      <c r="S14" s="340"/>
      <c r="T14" s="343"/>
    </row>
    <row r="15" spans="1:20">
      <c r="A15" s="339">
        <v>11</v>
      </c>
      <c r="B15" s="340"/>
      <c r="C15" s="338">
        <v>5.5</v>
      </c>
      <c r="H15" s="340"/>
      <c r="I15" s="340"/>
      <c r="L15" s="338">
        <v>4.75</v>
      </c>
      <c r="P15" s="340"/>
      <c r="Q15" s="338">
        <v>0.5</v>
      </c>
      <c r="S15" s="340"/>
      <c r="T15" s="343"/>
    </row>
    <row r="16" spans="1:20">
      <c r="A16" s="339">
        <v>12</v>
      </c>
      <c r="B16" s="340"/>
      <c r="H16" s="340"/>
      <c r="I16" s="340"/>
      <c r="P16" s="340"/>
      <c r="S16" s="340"/>
      <c r="T16" s="343"/>
    </row>
    <row r="17" spans="1:20">
      <c r="A17" s="339">
        <v>13</v>
      </c>
      <c r="B17" s="340"/>
      <c r="H17" s="340"/>
      <c r="I17" s="340"/>
      <c r="P17" s="340"/>
      <c r="Q17" s="338">
        <v>6</v>
      </c>
      <c r="S17" s="340"/>
      <c r="T17" s="343"/>
    </row>
    <row r="18" spans="1:20">
      <c r="A18" s="339">
        <v>14</v>
      </c>
      <c r="B18" s="340"/>
      <c r="C18" s="338">
        <v>5.5</v>
      </c>
      <c r="H18" s="340"/>
      <c r="I18" s="340"/>
      <c r="L18" s="338">
        <v>4.75</v>
      </c>
      <c r="M18" s="338">
        <v>1</v>
      </c>
      <c r="N18" s="338">
        <v>4.5</v>
      </c>
      <c r="P18" s="340"/>
      <c r="Q18" s="357">
        <v>6.75</v>
      </c>
      <c r="S18" s="340"/>
      <c r="T18" s="343"/>
    </row>
    <row r="19" spans="1:20">
      <c r="A19" s="339">
        <v>15</v>
      </c>
      <c r="B19" s="340"/>
      <c r="H19" s="340"/>
      <c r="I19" s="340"/>
      <c r="P19" s="340"/>
      <c r="Q19" s="357">
        <v>0.5</v>
      </c>
      <c r="S19" s="340"/>
      <c r="T19" s="343"/>
    </row>
    <row r="20" spans="1:20">
      <c r="A20" s="339">
        <v>16</v>
      </c>
      <c r="B20" s="340"/>
      <c r="H20" s="340"/>
      <c r="I20" s="340"/>
      <c r="P20" s="340"/>
      <c r="S20" s="340"/>
      <c r="T20" s="343"/>
    </row>
    <row r="21" spans="1:20">
      <c r="A21" s="339">
        <v>17</v>
      </c>
      <c r="B21" s="340"/>
      <c r="H21" s="340"/>
      <c r="I21" s="340"/>
      <c r="L21" s="338">
        <v>4.75</v>
      </c>
      <c r="P21" s="340"/>
      <c r="Q21" s="338">
        <v>6.75</v>
      </c>
      <c r="S21" s="340"/>
      <c r="T21" s="343"/>
    </row>
    <row r="22" spans="1:20">
      <c r="A22" s="339">
        <v>18</v>
      </c>
      <c r="B22" s="340"/>
      <c r="C22" s="338">
        <v>6.5</v>
      </c>
      <c r="D22" s="338">
        <v>9</v>
      </c>
      <c r="F22" s="338">
        <v>8.25</v>
      </c>
      <c r="H22" s="340"/>
      <c r="I22" s="340"/>
      <c r="P22" s="340"/>
      <c r="Q22" s="338">
        <v>0.5</v>
      </c>
      <c r="S22" s="340"/>
      <c r="T22" s="343"/>
    </row>
    <row r="23" spans="1:20">
      <c r="A23" s="339">
        <v>19</v>
      </c>
      <c r="B23" s="340"/>
      <c r="H23" s="340"/>
      <c r="I23" s="340"/>
      <c r="J23" s="338">
        <v>7.5</v>
      </c>
      <c r="P23" s="340"/>
      <c r="S23" s="340"/>
      <c r="T23" s="343"/>
    </row>
    <row r="24" spans="1:20">
      <c r="A24" s="339">
        <v>20</v>
      </c>
      <c r="B24" s="340"/>
      <c r="H24" s="340"/>
      <c r="I24" s="340"/>
      <c r="P24" s="340"/>
      <c r="S24" s="340"/>
      <c r="T24" s="343"/>
    </row>
    <row r="25" spans="1:20">
      <c r="A25" s="339">
        <v>21</v>
      </c>
      <c r="B25" s="340"/>
      <c r="C25" s="338">
        <v>2.5</v>
      </c>
      <c r="H25" s="340"/>
      <c r="I25" s="340"/>
      <c r="L25" s="338">
        <v>4.75</v>
      </c>
      <c r="M25" s="338">
        <v>1.5</v>
      </c>
      <c r="N25" s="338">
        <v>4.25</v>
      </c>
      <c r="P25" s="340"/>
      <c r="Q25" s="357">
        <v>7</v>
      </c>
      <c r="S25" s="340"/>
      <c r="T25" s="343"/>
    </row>
    <row r="26" spans="1:20">
      <c r="A26" s="339">
        <v>22</v>
      </c>
      <c r="B26" s="340"/>
      <c r="H26" s="340"/>
      <c r="I26" s="340"/>
      <c r="P26" s="340"/>
      <c r="S26" s="340"/>
      <c r="T26" s="343"/>
    </row>
    <row r="27" spans="1:20">
      <c r="A27" s="339">
        <v>23</v>
      </c>
      <c r="B27" s="340"/>
      <c r="H27" s="340"/>
      <c r="I27" s="340"/>
      <c r="P27" s="340"/>
      <c r="S27" s="340"/>
      <c r="T27" s="343"/>
    </row>
    <row r="28" spans="1:20">
      <c r="A28" s="339">
        <v>24</v>
      </c>
      <c r="B28" s="340"/>
      <c r="H28" s="340"/>
      <c r="I28" s="340"/>
      <c r="P28" s="340"/>
      <c r="S28" s="340"/>
      <c r="T28" s="343"/>
    </row>
    <row r="29" spans="1:20">
      <c r="A29" s="339">
        <v>25</v>
      </c>
      <c r="B29" s="340"/>
      <c r="C29" s="338">
        <v>6.75</v>
      </c>
      <c r="H29" s="340"/>
      <c r="I29" s="340"/>
      <c r="P29" s="340"/>
      <c r="S29" s="340"/>
      <c r="T29" s="343"/>
    </row>
    <row r="30" spans="1:20">
      <c r="A30" s="339">
        <v>26</v>
      </c>
      <c r="B30" s="340"/>
      <c r="G30" s="338">
        <v>1.25</v>
      </c>
      <c r="H30" s="340"/>
      <c r="I30" s="340"/>
      <c r="P30" s="340"/>
      <c r="S30" s="340"/>
      <c r="T30" s="343"/>
    </row>
    <row r="31" spans="1:20">
      <c r="A31" s="339">
        <v>27</v>
      </c>
      <c r="B31" s="340"/>
      <c r="H31" s="340"/>
      <c r="I31" s="340"/>
      <c r="P31" s="340"/>
      <c r="S31" s="340"/>
      <c r="T31" s="343"/>
    </row>
    <row r="32" spans="1:20">
      <c r="A32" s="339">
        <v>28</v>
      </c>
      <c r="B32" s="340"/>
      <c r="C32" s="338">
        <v>5.5</v>
      </c>
      <c r="H32" s="340"/>
      <c r="I32" s="340"/>
      <c r="L32" s="338">
        <v>4.75</v>
      </c>
      <c r="M32" s="338">
        <v>1</v>
      </c>
      <c r="N32" s="338">
        <v>4.5</v>
      </c>
      <c r="P32" s="340"/>
      <c r="Q32" s="357">
        <v>6.75</v>
      </c>
      <c r="S32" s="340"/>
      <c r="T32" s="343"/>
    </row>
    <row r="33" spans="1:20">
      <c r="A33" s="339">
        <v>29</v>
      </c>
      <c r="B33" s="340"/>
      <c r="H33" s="340"/>
      <c r="I33" s="340"/>
      <c r="P33" s="340"/>
      <c r="Q33" s="338">
        <v>0.5</v>
      </c>
      <c r="S33" s="340"/>
      <c r="T33" s="343"/>
    </row>
    <row r="34" spans="1:20">
      <c r="A34" s="339">
        <v>30</v>
      </c>
      <c r="B34" s="340"/>
      <c r="H34" s="340"/>
      <c r="I34" s="340"/>
      <c r="M34" s="338">
        <v>0.5</v>
      </c>
      <c r="P34" s="340"/>
      <c r="Q34" s="338">
        <v>6</v>
      </c>
      <c r="S34" s="340"/>
      <c r="T34" s="343"/>
    </row>
    <row r="35" spans="1:20">
      <c r="A35" s="339">
        <v>31</v>
      </c>
      <c r="B35" s="340"/>
      <c r="H35" s="340"/>
      <c r="I35" s="340"/>
      <c r="M35" s="338">
        <v>0.5</v>
      </c>
      <c r="P35" s="340"/>
      <c r="Q35" s="338">
        <v>6.25</v>
      </c>
      <c r="S35" s="340"/>
      <c r="T35" s="343"/>
    </row>
    <row r="36" spans="1:20" ht="15.75" thickBot="1">
      <c r="A36" s="348"/>
      <c r="B36" s="349"/>
      <c r="C36" s="350">
        <f>SUM(C5:C35)</f>
        <v>45.25</v>
      </c>
      <c r="D36" s="351">
        <f>SUM(D5:D35)</f>
        <v>18</v>
      </c>
      <c r="E36" s="350">
        <f>SUM(E5:E35)</f>
        <v>0</v>
      </c>
      <c r="F36" s="351">
        <f>SUM(F5:F35)</f>
        <v>15.75</v>
      </c>
      <c r="G36" s="352">
        <f>SUM(G5:G35)</f>
        <v>1.25</v>
      </c>
      <c r="H36" s="349"/>
      <c r="I36" s="349"/>
      <c r="J36" s="353">
        <f>SUM(J5:J35)</f>
        <v>17.5</v>
      </c>
      <c r="K36" s="353">
        <f>SUM(K5:K35)</f>
        <v>1</v>
      </c>
      <c r="L36" s="354">
        <f>SUM(L5:L35)</f>
        <v>33</v>
      </c>
      <c r="M36" s="354">
        <f>SUM(M5:M35)</f>
        <v>4.5</v>
      </c>
      <c r="N36" s="354">
        <f>SUM(N5:N35)</f>
        <v>26.75</v>
      </c>
      <c r="O36" s="348"/>
      <c r="P36" s="349"/>
      <c r="Q36" s="348">
        <f>SUM(Q5:Q35)</f>
        <v>68.75</v>
      </c>
      <c r="R36" s="348"/>
      <c r="S36" s="349"/>
      <c r="T36" s="355"/>
    </row>
    <row r="37" spans="1:20" ht="15.75" thickTop="1"/>
    <row r="41" spans="1:20">
      <c r="C41" s="338" t="s">
        <v>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7"/>
  <sheetViews>
    <sheetView workbookViewId="0">
      <pane xSplit="3" ySplit="6" topLeftCell="E58" activePane="bottomRight" state="frozen"/>
      <selection pane="topRight" activeCell="D1" sqref="D1"/>
      <selection pane="bottomLeft" activeCell="A7" sqref="A7"/>
      <selection pane="bottomRight" activeCell="I8" sqref="I8"/>
    </sheetView>
  </sheetViews>
  <sheetFormatPr defaultColWidth="8.88671875" defaultRowHeight="15.75"/>
  <cols>
    <col min="1" max="1" width="5.77734375" style="514" customWidth="1"/>
    <col min="2" max="2" width="8.88671875" style="514"/>
    <col min="3" max="3" width="25.6640625" style="514" customWidth="1"/>
    <col min="4" max="4" width="12.88671875" style="514" customWidth="1"/>
    <col min="5" max="5" width="11.44140625" style="514" customWidth="1"/>
    <col min="6" max="6" width="10.109375" style="514" bestFit="1" customWidth="1"/>
    <col min="7" max="7" width="9.77734375" style="514" bestFit="1" customWidth="1"/>
    <col min="8" max="12" width="10.109375" style="514" customWidth="1"/>
    <col min="13" max="13" width="10.109375" style="514" bestFit="1" customWidth="1"/>
    <col min="14" max="16384" width="8.88671875" style="514"/>
  </cols>
  <sheetData>
    <row r="1" spans="1:15">
      <c r="A1" s="514" t="str">
        <f>'Income Statement'!A1</f>
        <v>Freedom 2000</v>
      </c>
      <c r="E1" s="526"/>
      <c r="F1" s="526"/>
      <c r="G1" s="526"/>
      <c r="H1" s="526"/>
      <c r="I1" s="526"/>
      <c r="J1" s="526"/>
      <c r="K1" s="526"/>
      <c r="L1" s="526"/>
      <c r="M1" s="526"/>
    </row>
    <row r="2" spans="1:15">
      <c r="E2" s="526"/>
      <c r="F2" s="526"/>
      <c r="G2" s="526"/>
      <c r="H2" s="526"/>
      <c r="I2" s="526"/>
      <c r="J2" s="526"/>
      <c r="K2" s="526"/>
      <c r="L2" s="526"/>
      <c r="M2" s="526"/>
    </row>
    <row r="3" spans="1:15">
      <c r="E3" s="527"/>
      <c r="F3" s="527"/>
      <c r="G3" s="527"/>
      <c r="H3" s="527"/>
      <c r="I3" s="527"/>
      <c r="J3" s="527"/>
      <c r="K3" s="527"/>
      <c r="L3" s="528" t="s">
        <v>463</v>
      </c>
      <c r="M3" s="529"/>
    </row>
    <row r="4" spans="1:15">
      <c r="E4" s="527"/>
      <c r="F4" s="527"/>
      <c r="G4" s="527" t="s">
        <v>462</v>
      </c>
      <c r="H4" s="529" t="s">
        <v>462</v>
      </c>
      <c r="I4" s="593" t="s">
        <v>514</v>
      </c>
      <c r="J4" s="593" t="s">
        <v>298</v>
      </c>
      <c r="K4" s="593" t="s">
        <v>298</v>
      </c>
      <c r="L4" s="528" t="s">
        <v>464</v>
      </c>
      <c r="M4" s="529" t="s">
        <v>103</v>
      </c>
    </row>
    <row r="5" spans="1:15">
      <c r="D5" s="514" t="s">
        <v>462</v>
      </c>
      <c r="E5" s="527" t="s">
        <v>239</v>
      </c>
      <c r="F5" s="527" t="s">
        <v>240</v>
      </c>
      <c r="G5" s="527" t="s">
        <v>225</v>
      </c>
      <c r="H5" s="529" t="s">
        <v>103</v>
      </c>
      <c r="I5" s="593" t="s">
        <v>509</v>
      </c>
      <c r="J5" s="593" t="s">
        <v>389</v>
      </c>
      <c r="K5" s="593" t="s">
        <v>468</v>
      </c>
      <c r="L5" s="528" t="s">
        <v>225</v>
      </c>
      <c r="M5" s="529" t="s">
        <v>465</v>
      </c>
    </row>
    <row r="6" spans="1:15" ht="16.5" thickBot="1">
      <c r="D6" s="530"/>
      <c r="E6" s="530" t="s">
        <v>251</v>
      </c>
      <c r="F6" s="530" t="s">
        <v>103</v>
      </c>
      <c r="G6" s="530" t="s">
        <v>251</v>
      </c>
      <c r="H6" s="531"/>
      <c r="I6" s="530" t="s">
        <v>257</v>
      </c>
      <c r="J6" s="530" t="s">
        <v>515</v>
      </c>
      <c r="K6" s="530" t="s">
        <v>76</v>
      </c>
      <c r="L6" s="532" t="s">
        <v>251</v>
      </c>
      <c r="M6" s="533" t="s">
        <v>256</v>
      </c>
    </row>
    <row r="7" spans="1:15">
      <c r="B7" s="514" t="s">
        <v>259</v>
      </c>
      <c r="D7" s="515">
        <f>'Income Statement'!P9</f>
        <v>84005.19</v>
      </c>
      <c r="E7" s="515">
        <f>'Income Statement'!Q9</f>
        <v>-14634</v>
      </c>
      <c r="F7" s="515"/>
      <c r="G7" s="519"/>
      <c r="H7" s="516">
        <f t="shared" ref="H7:H16" si="0">SUM(F7:G7)</f>
        <v>0</v>
      </c>
      <c r="I7" s="601"/>
      <c r="J7" s="515"/>
      <c r="K7" s="515"/>
      <c r="L7" s="625"/>
      <c r="M7" s="516">
        <f>SUM(H7:L7)</f>
        <v>0</v>
      </c>
    </row>
    <row r="8" spans="1:15">
      <c r="B8" s="514" t="s">
        <v>486</v>
      </c>
      <c r="D8" s="515">
        <f>'Income Statement'!P10</f>
        <v>0</v>
      </c>
      <c r="E8" s="515">
        <f>'Income Statement'!Q10</f>
        <v>18916</v>
      </c>
      <c r="F8" s="515">
        <f t="shared" ref="F8:F11" si="1">SUM(D8:E8)</f>
        <v>18916</v>
      </c>
      <c r="G8" s="519"/>
      <c r="H8" s="516">
        <f t="shared" si="0"/>
        <v>18916</v>
      </c>
      <c r="I8" s="601">
        <f ca="1">'Income Statement'!V10</f>
        <v>44264.615374918518</v>
      </c>
      <c r="J8" s="515"/>
      <c r="K8" s="515">
        <f ca="1">I8</f>
        <v>44264.615374918518</v>
      </c>
      <c r="L8" s="625">
        <f ca="1">'Projected price out'!I73+'Projected price out'!I74-'Recycling Adj.'!H8</f>
        <v>295391.78593241464</v>
      </c>
      <c r="M8" s="516">
        <f t="shared" ref="M8:M15" ca="1" si="2">SUM(H8:L8)</f>
        <v>402837.01668225171</v>
      </c>
    </row>
    <row r="9" spans="1:15">
      <c r="B9" s="514" t="s">
        <v>260</v>
      </c>
      <c r="D9" s="515">
        <f>'Income Statement'!P11</f>
        <v>87357.48000000001</v>
      </c>
      <c r="E9" s="515">
        <f>'Income Statement'!Q11</f>
        <v>-2503.4800000000105</v>
      </c>
      <c r="F9" s="515"/>
      <c r="G9" s="519"/>
      <c r="H9" s="516">
        <f t="shared" si="0"/>
        <v>0</v>
      </c>
      <c r="I9" s="601"/>
      <c r="J9" s="515"/>
      <c r="K9" s="515"/>
      <c r="L9" s="625"/>
      <c r="M9" s="516">
        <f t="shared" si="2"/>
        <v>0</v>
      </c>
    </row>
    <row r="10" spans="1:15">
      <c r="B10" s="514" t="s">
        <v>261</v>
      </c>
      <c r="D10" s="515">
        <f>'Income Statement'!P12</f>
        <v>55373.700000000004</v>
      </c>
      <c r="E10" s="515">
        <f>'Income Statement'!Q12</f>
        <v>-7636</v>
      </c>
      <c r="F10" s="515"/>
      <c r="G10" s="519"/>
      <c r="H10" s="516">
        <f t="shared" si="0"/>
        <v>0</v>
      </c>
      <c r="I10" s="601"/>
      <c r="J10" s="515"/>
      <c r="K10" s="515"/>
      <c r="L10" s="625"/>
      <c r="M10" s="516">
        <f t="shared" si="2"/>
        <v>0</v>
      </c>
    </row>
    <row r="11" spans="1:15">
      <c r="B11" s="514" t="s">
        <v>262</v>
      </c>
      <c r="D11" s="515">
        <f>'Income Statement'!P13</f>
        <v>178874.51</v>
      </c>
      <c r="E11" s="515">
        <f>'Income Statement'!Q13</f>
        <v>-178875</v>
      </c>
      <c r="F11" s="515">
        <f t="shared" si="1"/>
        <v>-0.48999999999068677</v>
      </c>
      <c r="G11" s="519"/>
      <c r="H11" s="516">
        <f t="shared" si="0"/>
        <v>-0.48999999999068677</v>
      </c>
      <c r="I11" s="624"/>
      <c r="J11" s="599"/>
      <c r="K11" s="599"/>
      <c r="L11" s="625"/>
      <c r="M11" s="516">
        <f t="shared" si="2"/>
        <v>-0.48999999999068677</v>
      </c>
    </row>
    <row r="12" spans="1:15">
      <c r="B12" s="514" t="s">
        <v>263</v>
      </c>
      <c r="D12" s="515">
        <f>'Income Statement'!P14</f>
        <v>0</v>
      </c>
      <c r="E12" s="515">
        <f>'Income Statement'!Q14</f>
        <v>0</v>
      </c>
      <c r="F12" s="515">
        <f t="shared" ref="F12:F13" si="3">SUM(D12:E12)</f>
        <v>0</v>
      </c>
      <c r="G12" s="519"/>
      <c r="H12" s="516">
        <f t="shared" si="0"/>
        <v>0</v>
      </c>
      <c r="I12" s="601"/>
      <c r="J12" s="515"/>
      <c r="K12" s="515"/>
      <c r="L12" s="625"/>
      <c r="M12" s="516">
        <f t="shared" si="2"/>
        <v>0</v>
      </c>
    </row>
    <row r="13" spans="1:15">
      <c r="B13" s="514" t="s">
        <v>264</v>
      </c>
      <c r="D13" s="515">
        <f>'Income Statement'!P15</f>
        <v>0</v>
      </c>
      <c r="E13" s="515"/>
      <c r="F13" s="515">
        <f t="shared" si="3"/>
        <v>0</v>
      </c>
      <c r="G13" s="519"/>
      <c r="H13" s="516">
        <f t="shared" si="0"/>
        <v>0</v>
      </c>
      <c r="I13" s="601"/>
      <c r="J13" s="515"/>
      <c r="K13" s="515"/>
      <c r="L13" s="625"/>
      <c r="M13" s="516">
        <f t="shared" si="2"/>
        <v>0</v>
      </c>
    </row>
    <row r="14" spans="1:15">
      <c r="B14" s="514" t="s">
        <v>265</v>
      </c>
      <c r="D14" s="515">
        <f>'Income Statement'!P16</f>
        <v>0</v>
      </c>
      <c r="E14" s="515"/>
      <c r="F14" s="515"/>
      <c r="G14" s="519"/>
      <c r="H14" s="516">
        <f t="shared" si="0"/>
        <v>0</v>
      </c>
      <c r="I14" s="632"/>
      <c r="J14" s="515"/>
      <c r="K14" s="515"/>
      <c r="L14" s="625"/>
      <c r="M14" s="516">
        <f t="shared" si="2"/>
        <v>0</v>
      </c>
    </row>
    <row r="15" spans="1:15">
      <c r="D15" s="524"/>
      <c r="E15" s="634"/>
      <c r="F15" s="634"/>
      <c r="G15" s="634"/>
      <c r="H15" s="573">
        <f t="shared" si="0"/>
        <v>0</v>
      </c>
      <c r="I15" s="635"/>
      <c r="J15" s="525"/>
      <c r="K15" s="525"/>
      <c r="L15" s="636"/>
      <c r="M15" s="516">
        <f t="shared" si="2"/>
        <v>0</v>
      </c>
    </row>
    <row r="16" spans="1:15">
      <c r="B16" s="514" t="s">
        <v>12</v>
      </c>
      <c r="D16" s="637">
        <f>SUM(D7:D15)</f>
        <v>405610.88</v>
      </c>
      <c r="E16" s="638"/>
      <c r="F16" s="637">
        <f>SUM(F7:F15)</f>
        <v>18915.510000000009</v>
      </c>
      <c r="G16" s="638"/>
      <c r="H16" s="587">
        <f t="shared" si="0"/>
        <v>18915.510000000009</v>
      </c>
      <c r="I16" s="637">
        <f t="shared" ref="I16:L16" ca="1" si="4">SUM(I7:I15)</f>
        <v>44264.615374918518</v>
      </c>
      <c r="J16" s="637">
        <f t="shared" si="4"/>
        <v>0</v>
      </c>
      <c r="K16" s="637">
        <f t="shared" ca="1" si="4"/>
        <v>44264.615374918518</v>
      </c>
      <c r="L16" s="637">
        <f t="shared" ca="1" si="4"/>
        <v>295391.78593241464</v>
      </c>
      <c r="M16" s="637">
        <f ca="1">SUM(M7:M15)</f>
        <v>402836.52668225172</v>
      </c>
      <c r="O16" s="626"/>
    </row>
    <row r="17" spans="2:13">
      <c r="D17" s="535"/>
      <c r="E17" s="535"/>
      <c r="F17" s="535"/>
      <c r="G17" s="535"/>
      <c r="H17" s="536"/>
      <c r="I17" s="633"/>
      <c r="J17" s="583"/>
      <c r="K17" s="583"/>
      <c r="L17" s="537"/>
      <c r="M17" s="536"/>
    </row>
    <row r="18" spans="2:13">
      <c r="D18" s="519"/>
      <c r="H18" s="538"/>
      <c r="I18" s="604"/>
      <c r="J18" s="581"/>
      <c r="K18" s="538"/>
      <c r="L18" s="534"/>
      <c r="M18" s="538"/>
    </row>
    <row r="19" spans="2:13">
      <c r="B19" s="520" t="s">
        <v>268</v>
      </c>
      <c r="C19" s="520"/>
      <c r="D19" s="515"/>
      <c r="E19" s="515"/>
      <c r="F19" s="515">
        <f>D19+E19</f>
        <v>0</v>
      </c>
      <c r="G19" s="515"/>
      <c r="H19" s="516">
        <f>SUM(F19:G19)</f>
        <v>0</v>
      </c>
      <c r="I19" s="619">
        <f>'Cando 2019'!N68</f>
        <v>168000</v>
      </c>
      <c r="J19" s="655">
        <v>0</v>
      </c>
      <c r="K19" s="653">
        <f>I19*J19</f>
        <v>0</v>
      </c>
      <c r="L19" s="521"/>
      <c r="M19" s="516">
        <f>SUM(K19:L19)</f>
        <v>0</v>
      </c>
    </row>
    <row r="20" spans="2:13">
      <c r="B20" s="520" t="s">
        <v>516</v>
      </c>
      <c r="C20" s="520"/>
      <c r="D20" s="515">
        <f>'Income Statement'!P22</f>
        <v>0</v>
      </c>
      <c r="E20" s="515">
        <f>'Income Statement'!Q22*'Drive Hours Recap'!$E$25</f>
        <v>0</v>
      </c>
      <c r="F20" s="515">
        <f t="shared" ref="F20:F65" si="5">D20+E20</f>
        <v>0</v>
      </c>
      <c r="G20" s="515"/>
      <c r="H20" s="516">
        <f t="shared" ref="H20:H65" si="6">SUM(F20:G20)</f>
        <v>0</v>
      </c>
      <c r="I20" s="619">
        <f>'Cando 2019'!N65</f>
        <v>2640</v>
      </c>
      <c r="J20" s="652">
        <v>0</v>
      </c>
      <c r="K20" s="653">
        <f t="shared" ref="K20:K65" si="7">I20*J20</f>
        <v>0</v>
      </c>
      <c r="L20" s="521">
        <f>-K20</f>
        <v>0</v>
      </c>
      <c r="M20" s="516">
        <f t="shared" ref="M20:M66" si="8">SUM(K20:L20)</f>
        <v>0</v>
      </c>
    </row>
    <row r="21" spans="2:13">
      <c r="B21" s="520" t="s">
        <v>270</v>
      </c>
      <c r="C21" s="520"/>
      <c r="D21" s="517">
        <f>'Income Statement'!P23</f>
        <v>20260.240000000002</v>
      </c>
      <c r="E21" s="517">
        <f>'Income Statement'!Q23</f>
        <v>-10585.512449169933</v>
      </c>
      <c r="F21" s="517">
        <f t="shared" si="5"/>
        <v>9674.7275508300681</v>
      </c>
      <c r="G21" s="522">
        <f>F21*'Drive Hours Recap'!E25-'Recycling Adj.'!F21</f>
        <v>-6991.8795849583712</v>
      </c>
      <c r="H21" s="518">
        <f t="shared" si="6"/>
        <v>2682.8479658716969</v>
      </c>
      <c r="I21" s="618">
        <f>'Cando 2019'!N58</f>
        <v>4200</v>
      </c>
      <c r="J21" s="652">
        <f>'Total Hrs'!$D$43</f>
        <v>0.40080971659919029</v>
      </c>
      <c r="K21" s="653">
        <f t="shared" si="7"/>
        <v>1683.4008097165993</v>
      </c>
      <c r="L21" s="521"/>
      <c r="M21" s="516">
        <f t="shared" si="8"/>
        <v>1683.4008097165993</v>
      </c>
    </row>
    <row r="22" spans="2:13">
      <c r="B22" s="520"/>
      <c r="C22" s="520" t="s">
        <v>467</v>
      </c>
      <c r="D22" s="515"/>
      <c r="E22" s="515"/>
      <c r="F22" s="515"/>
      <c r="G22" s="515"/>
      <c r="H22" s="516">
        <f t="shared" si="6"/>
        <v>0</v>
      </c>
      <c r="I22" s="620">
        <f>'Cando 2019'!N67</f>
        <v>1200</v>
      </c>
      <c r="J22" s="652">
        <f>'Total Hrs'!$D$43</f>
        <v>0.40080971659919029</v>
      </c>
      <c r="K22" s="653">
        <f t="shared" si="7"/>
        <v>480.97165991902835</v>
      </c>
      <c r="L22" s="521"/>
      <c r="M22" s="516">
        <f t="shared" si="8"/>
        <v>480.97165991902835</v>
      </c>
    </row>
    <row r="23" spans="2:13">
      <c r="B23" s="520"/>
      <c r="C23" s="520"/>
      <c r="D23" s="515"/>
      <c r="E23" s="515"/>
      <c r="F23" s="515"/>
      <c r="G23" s="515"/>
      <c r="H23" s="516">
        <f t="shared" si="6"/>
        <v>0</v>
      </c>
      <c r="I23" s="606"/>
      <c r="J23" s="652">
        <f>'Total Hrs'!$D$43</f>
        <v>0.40080971659919029</v>
      </c>
      <c r="K23" s="653">
        <f t="shared" si="7"/>
        <v>0</v>
      </c>
      <c r="L23" s="521"/>
      <c r="M23" s="516">
        <f t="shared" si="8"/>
        <v>0</v>
      </c>
    </row>
    <row r="24" spans="2:13">
      <c r="B24" s="520" t="s">
        <v>271</v>
      </c>
      <c r="C24" s="520"/>
      <c r="D24" s="515">
        <f>'Income Statement'!P24*'Drive Hours Recap'!E25</f>
        <v>621.33181004110395</v>
      </c>
      <c r="E24" s="515">
        <f>'Income Statement'!Q24*'Drive Hours Recap'!$E$25</f>
        <v>-324.63167318133418</v>
      </c>
      <c r="F24" s="515">
        <f t="shared" si="5"/>
        <v>296.70013685976977</v>
      </c>
      <c r="G24" s="515">
        <v>0</v>
      </c>
      <c r="H24" s="516">
        <f t="shared" si="6"/>
        <v>296.70013685976977</v>
      </c>
      <c r="I24" s="616">
        <f>'Cando 2019'!N59</f>
        <v>2400</v>
      </c>
      <c r="J24" s="652">
        <f>'Total Hrs'!$D$43</f>
        <v>0.40080971659919029</v>
      </c>
      <c r="K24" s="653">
        <f t="shared" si="7"/>
        <v>961.94331983805671</v>
      </c>
      <c r="L24" s="521"/>
      <c r="M24" s="516">
        <f t="shared" si="8"/>
        <v>961.94331983805671</v>
      </c>
    </row>
    <row r="25" spans="2:13">
      <c r="B25" s="520" t="s">
        <v>272</v>
      </c>
      <c r="C25" s="520"/>
      <c r="D25" s="515">
        <f>'Income Statement'!P25</f>
        <v>0</v>
      </c>
      <c r="E25" s="515">
        <f>'Income Statement'!Q25*'Drive Hours Recap'!$E$25</f>
        <v>0</v>
      </c>
      <c r="F25" s="515">
        <f t="shared" si="5"/>
        <v>0</v>
      </c>
      <c r="G25" s="515">
        <v>0</v>
      </c>
      <c r="H25" s="516">
        <f t="shared" si="6"/>
        <v>0</v>
      </c>
      <c r="I25" s="606"/>
      <c r="J25" s="652">
        <f>'Total Hrs'!$D$43</f>
        <v>0.40080971659919029</v>
      </c>
      <c r="K25" s="653">
        <f t="shared" si="7"/>
        <v>0</v>
      </c>
      <c r="L25" s="521"/>
      <c r="M25" s="516">
        <f t="shared" si="8"/>
        <v>0</v>
      </c>
    </row>
    <row r="26" spans="2:13">
      <c r="B26" s="520" t="s">
        <v>273</v>
      </c>
      <c r="C26" s="520"/>
      <c r="D26" s="515">
        <f>'Income Statement'!P26</f>
        <v>129804.47</v>
      </c>
      <c r="E26" s="515">
        <f>'Income Statement'!Q26</f>
        <v>-101040.72</v>
      </c>
      <c r="F26" s="515">
        <f t="shared" si="5"/>
        <v>28763.75</v>
      </c>
      <c r="G26" s="517">
        <f>'Drive Hours Recap'!D21+'Drive Hours Recap'!F21-'Recycling Adj.'!F26</f>
        <v>-18715</v>
      </c>
      <c r="H26" s="518">
        <f>SUM(F26:G26)</f>
        <v>10048.75</v>
      </c>
      <c r="I26" s="615">
        <f>'Cando 2019'!N35</f>
        <v>86450</v>
      </c>
      <c r="J26" s="652">
        <f>'Total Hrs'!$D$43</f>
        <v>0.40080971659919029</v>
      </c>
      <c r="K26" s="653">
        <f t="shared" si="7"/>
        <v>34650</v>
      </c>
      <c r="L26" s="521"/>
      <c r="M26" s="516">
        <f t="shared" si="8"/>
        <v>34650</v>
      </c>
    </row>
    <row r="27" spans="2:13">
      <c r="B27" s="520"/>
      <c r="C27" s="520"/>
      <c r="D27" s="515"/>
      <c r="E27" s="515"/>
      <c r="F27" s="515">
        <f t="shared" si="5"/>
        <v>0</v>
      </c>
      <c r="G27" s="515"/>
      <c r="H27" s="516">
        <f t="shared" si="6"/>
        <v>0</v>
      </c>
      <c r="I27" s="606"/>
      <c r="J27" s="652">
        <f>'Total Hrs'!$D$43</f>
        <v>0.40080971659919029</v>
      </c>
      <c r="K27" s="653">
        <f t="shared" si="7"/>
        <v>0</v>
      </c>
      <c r="L27" s="521"/>
      <c r="M27" s="516">
        <f t="shared" si="8"/>
        <v>0</v>
      </c>
    </row>
    <row r="28" spans="2:13">
      <c r="B28" s="520" t="s">
        <v>345</v>
      </c>
      <c r="D28" s="515"/>
      <c r="E28" s="515"/>
      <c r="F28" s="515">
        <f t="shared" si="5"/>
        <v>0</v>
      </c>
      <c r="G28" s="515"/>
      <c r="H28" s="516">
        <f t="shared" si="6"/>
        <v>0</v>
      </c>
      <c r="I28" s="623">
        <f>'Cando 2019'!N51-'Cando 2019'!N47-'Cando 2019'!N49</f>
        <v>10562.000000000004</v>
      </c>
      <c r="J28" s="652">
        <f>'Total Hrs'!$D$43</f>
        <v>0.40080971659919029</v>
      </c>
      <c r="K28" s="653">
        <f t="shared" si="7"/>
        <v>4233.352226720649</v>
      </c>
      <c r="L28" s="521"/>
      <c r="M28" s="516">
        <f t="shared" si="8"/>
        <v>4233.352226720649</v>
      </c>
    </row>
    <row r="29" spans="2:13">
      <c r="B29" s="520" t="s">
        <v>274</v>
      </c>
      <c r="C29" s="520"/>
      <c r="D29" s="515">
        <f>'Income Statement'!P27*'Drive Hours Recap'!E25</f>
        <v>0</v>
      </c>
      <c r="E29" s="515">
        <f>'Income Statement'!Q27*'Drive Hours Recap'!$E$25</f>
        <v>0</v>
      </c>
      <c r="F29" s="515">
        <f t="shared" si="5"/>
        <v>0</v>
      </c>
      <c r="G29" s="515">
        <v>0</v>
      </c>
      <c r="H29" s="516">
        <f t="shared" si="6"/>
        <v>0</v>
      </c>
      <c r="I29" s="606"/>
      <c r="J29" s="652">
        <f>'Total Hrs'!$D$43</f>
        <v>0.40080971659919029</v>
      </c>
      <c r="K29" s="653">
        <f t="shared" si="7"/>
        <v>0</v>
      </c>
      <c r="L29" s="521"/>
      <c r="M29" s="516">
        <f t="shared" si="8"/>
        <v>0</v>
      </c>
    </row>
    <row r="30" spans="2:13">
      <c r="B30" s="520" t="s">
        <v>275</v>
      </c>
      <c r="C30" s="520"/>
      <c r="D30" s="515">
        <f>'Income Statement'!P28*'Drive Hours Recap'!E25</f>
        <v>0</v>
      </c>
      <c r="E30" s="515">
        <f>'Income Statement'!Q28*'Drive Hours Recap'!$E$25</f>
        <v>0</v>
      </c>
      <c r="F30" s="515">
        <f t="shared" si="5"/>
        <v>0</v>
      </c>
      <c r="G30" s="515">
        <v>0</v>
      </c>
      <c r="H30" s="516">
        <f t="shared" si="6"/>
        <v>0</v>
      </c>
      <c r="I30" s="623">
        <f>'Cando 2019'!N47</f>
        <v>21600</v>
      </c>
      <c r="J30" s="652">
        <f>'Total Hrs'!$D$43</f>
        <v>0.40080971659919029</v>
      </c>
      <c r="K30" s="653">
        <f t="shared" si="7"/>
        <v>8657.4898785425103</v>
      </c>
      <c r="L30" s="521"/>
      <c r="M30" s="516">
        <f t="shared" si="8"/>
        <v>8657.4898785425103</v>
      </c>
    </row>
    <row r="31" spans="2:13">
      <c r="B31" s="520" t="s">
        <v>276</v>
      </c>
      <c r="C31" s="520"/>
      <c r="D31" s="515">
        <f>'Income Statement'!R29*'Drive Hours Recap'!E25</f>
        <v>2654.1950652715395</v>
      </c>
      <c r="E31" s="515"/>
      <c r="F31" s="515">
        <f t="shared" si="5"/>
        <v>2654.1950652715395</v>
      </c>
      <c r="G31" s="517">
        <f>(H26+H45)*'Income Statement'!$N$57-'Recycling Adj.'!F31</f>
        <v>369.9745232089208</v>
      </c>
      <c r="H31" s="518">
        <f t="shared" si="6"/>
        <v>3024.1695884804603</v>
      </c>
      <c r="I31" s="623">
        <f>'Cando 2019'!N49</f>
        <v>15040.0159064</v>
      </c>
      <c r="J31" s="652">
        <f>'Total Hrs'!$D$43</f>
        <v>0.40080971659919029</v>
      </c>
      <c r="K31" s="653">
        <f t="shared" si="7"/>
        <v>6028.184513091498</v>
      </c>
      <c r="L31" s="521"/>
      <c r="M31" s="516">
        <f t="shared" si="8"/>
        <v>6028.184513091498</v>
      </c>
    </row>
    <row r="32" spans="2:13">
      <c r="B32" s="520" t="s">
        <v>277</v>
      </c>
      <c r="C32" s="520"/>
      <c r="D32" s="515">
        <f>'Income Statement'!P30*'Drive Hours Recap'!E25</f>
        <v>108.14885496183206</v>
      </c>
      <c r="E32" s="515">
        <f>'Income Statement'!Q30*'Drive Hours Recap'!$E$25</f>
        <v>-56.505305493022128</v>
      </c>
      <c r="F32" s="515">
        <f t="shared" si="5"/>
        <v>51.64354946880993</v>
      </c>
      <c r="G32" s="515">
        <v>0</v>
      </c>
      <c r="H32" s="516">
        <f t="shared" si="6"/>
        <v>51.64354946880993</v>
      </c>
      <c r="I32" s="606"/>
      <c r="J32" s="652">
        <f>'Total Hrs'!$D$43</f>
        <v>0.40080971659919029</v>
      </c>
      <c r="K32" s="653">
        <f t="shared" si="7"/>
        <v>0</v>
      </c>
      <c r="L32" s="521"/>
      <c r="M32" s="516">
        <f t="shared" si="8"/>
        <v>0</v>
      </c>
    </row>
    <row r="33" spans="2:13">
      <c r="B33" s="520" t="s">
        <v>278</v>
      </c>
      <c r="C33" s="520"/>
      <c r="D33" s="515">
        <f>'Income Statement'!P31</f>
        <v>6962.86</v>
      </c>
      <c r="E33" s="517">
        <f>-'Income Statement'!P31*'Drive Hours Recap'!$L32</f>
        <v>-3324.9247528446181</v>
      </c>
      <c r="F33" s="517">
        <f t="shared" si="5"/>
        <v>3637.9352471553816</v>
      </c>
      <c r="G33" s="522">
        <f>F33*'Drive Hours Recap'!E25-F33</f>
        <v>-2629.1184999627048</v>
      </c>
      <c r="H33" s="518">
        <f t="shared" si="6"/>
        <v>1008.8167471926768</v>
      </c>
      <c r="I33" s="616">
        <f>'Cando 2019'!N55</f>
        <v>11700</v>
      </c>
      <c r="J33" s="652">
        <f>'Total Hrs'!$D$43</f>
        <v>0.40080971659919029</v>
      </c>
      <c r="K33" s="653">
        <f t="shared" si="7"/>
        <v>4689.4736842105267</v>
      </c>
      <c r="L33" s="521"/>
      <c r="M33" s="516">
        <f t="shared" si="8"/>
        <v>4689.4736842105267</v>
      </c>
    </row>
    <row r="34" spans="2:13">
      <c r="B34" s="520" t="s">
        <v>279</v>
      </c>
      <c r="C34" s="520"/>
      <c r="D34" s="515">
        <f>'Income Statement'!P32*'Drive Hours Recap'!E25</f>
        <v>3901.1344039929536</v>
      </c>
      <c r="E34" s="515">
        <f>'Income Statement'!Q32*'Drive Hours Recap'!$E$25</f>
        <v>-2038.2535843283463</v>
      </c>
      <c r="F34" s="517">
        <f>'Income Statement'!R32*'Drive Hours Recap'!E25</f>
        <v>1862.8808196646071</v>
      </c>
      <c r="G34" s="517">
        <v>0</v>
      </c>
      <c r="H34" s="518">
        <f t="shared" si="6"/>
        <v>1862.8808196646071</v>
      </c>
      <c r="I34" s="616">
        <f>'Cando 2019'!N56</f>
        <v>9120</v>
      </c>
      <c r="J34" s="652">
        <f>'Total Hrs'!$D$43</f>
        <v>0.40080971659919029</v>
      </c>
      <c r="K34" s="653">
        <f t="shared" si="7"/>
        <v>3655.3846153846152</v>
      </c>
      <c r="L34" s="521"/>
      <c r="M34" s="516">
        <f t="shared" si="8"/>
        <v>3655.3846153846152</v>
      </c>
    </row>
    <row r="35" spans="2:13">
      <c r="B35" s="520" t="s">
        <v>280</v>
      </c>
      <c r="C35" s="520"/>
      <c r="D35" s="515">
        <f>'Income Statement'!P33</f>
        <v>8133.5499999999993</v>
      </c>
      <c r="E35" s="517">
        <f>'Income Statement'!Q33</f>
        <v>-4249.5940216377548</v>
      </c>
      <c r="F35" s="517">
        <f t="shared" si="5"/>
        <v>3883.9559783622444</v>
      </c>
      <c r="G35" s="522">
        <f>F35*'Drive Hours Recap'!E25-'Recycling Adj.'!F35</f>
        <v>-2806.9165122544528</v>
      </c>
      <c r="H35" s="518">
        <f t="shared" si="6"/>
        <v>1077.0394661077917</v>
      </c>
      <c r="I35" s="616">
        <f>'Cando 2019'!N57</f>
        <v>3600</v>
      </c>
      <c r="J35" s="652">
        <f>'Total Hrs'!$D$43</f>
        <v>0.40080971659919029</v>
      </c>
      <c r="K35" s="653">
        <f t="shared" si="7"/>
        <v>1442.9149797570851</v>
      </c>
      <c r="L35" s="521"/>
      <c r="M35" s="516">
        <f t="shared" si="8"/>
        <v>1442.9149797570851</v>
      </c>
    </row>
    <row r="36" spans="2:13">
      <c r="B36" s="520" t="s">
        <v>281</v>
      </c>
      <c r="C36" s="520"/>
      <c r="D36" s="515">
        <f>'Income Statement'!P34*'Drive Hours Recap'!E25</f>
        <v>0</v>
      </c>
      <c r="E36" s="515">
        <f>'Income Statement'!Q34*'Drive Hours Recap'!$E$25</f>
        <v>0</v>
      </c>
      <c r="F36" s="515">
        <f t="shared" si="5"/>
        <v>0</v>
      </c>
      <c r="G36" s="515">
        <v>0</v>
      </c>
      <c r="H36" s="516">
        <f t="shared" si="6"/>
        <v>0</v>
      </c>
      <c r="I36" s="606"/>
      <c r="J36" s="652">
        <f>'Total Hrs'!$D$43</f>
        <v>0.40080971659919029</v>
      </c>
      <c r="K36" s="653">
        <f t="shared" si="7"/>
        <v>0</v>
      </c>
      <c r="L36" s="521"/>
      <c r="M36" s="516">
        <f t="shared" si="8"/>
        <v>0</v>
      </c>
    </row>
    <row r="37" spans="2:13">
      <c r="B37" s="520" t="s">
        <v>282</v>
      </c>
      <c r="C37" s="520"/>
      <c r="D37" s="515">
        <f>'Income Statement'!P35*'Drive Hours Recap'!E25</f>
        <v>0</v>
      </c>
      <c r="E37" s="515">
        <f>'Income Statement'!Q35*'Drive Hours Recap'!$E$25</f>
        <v>0</v>
      </c>
      <c r="F37" s="515">
        <f t="shared" si="5"/>
        <v>0</v>
      </c>
      <c r="G37" s="515">
        <v>0</v>
      </c>
      <c r="H37" s="516">
        <f t="shared" si="6"/>
        <v>0</v>
      </c>
      <c r="I37" s="606"/>
      <c r="J37" s="652">
        <f>'Total Hrs'!$D$43</f>
        <v>0.40080971659919029</v>
      </c>
      <c r="K37" s="653">
        <f t="shared" si="7"/>
        <v>0</v>
      </c>
      <c r="L37" s="521"/>
      <c r="M37" s="516">
        <f t="shared" si="8"/>
        <v>0</v>
      </c>
    </row>
    <row r="38" spans="2:13">
      <c r="B38" s="520" t="s">
        <v>283</v>
      </c>
      <c r="C38" s="520"/>
      <c r="D38" s="515">
        <f>'Income Statement'!P36*'Drive Hours Recap'!E25</f>
        <v>5685.0248091603053</v>
      </c>
      <c r="E38" s="517">
        <f>Assets!N39-'Recycling Adj.'!D38</f>
        <v>-1171.1007988810079</v>
      </c>
      <c r="F38" s="517">
        <f>D38+E38</f>
        <v>4513.9240102792974</v>
      </c>
      <c r="G38" s="517">
        <v>0</v>
      </c>
      <c r="H38" s="518">
        <f t="shared" si="6"/>
        <v>4513.9240102792974</v>
      </c>
      <c r="I38" s="617">
        <f>'Cando 2019'!N54</f>
        <v>24000</v>
      </c>
      <c r="J38" s="652">
        <f>'Total Hrs'!$D$43</f>
        <v>0.40080971659919029</v>
      </c>
      <c r="K38" s="653">
        <f t="shared" si="7"/>
        <v>9619.4331983805678</v>
      </c>
      <c r="L38" s="521">
        <f>Assets!N45-K38</f>
        <v>20465.401213897905</v>
      </c>
      <c r="M38" s="516">
        <f t="shared" si="8"/>
        <v>30084.834412278473</v>
      </c>
    </row>
    <row r="39" spans="2:13">
      <c r="B39" s="520" t="s">
        <v>284</v>
      </c>
      <c r="C39" s="520"/>
      <c r="D39" s="515">
        <f>'Income Statement'!P37*'Drive Hours Recap'!E25</f>
        <v>0</v>
      </c>
      <c r="E39" s="515">
        <f>'Income Statement'!Q37*'Drive Hours Recap'!$E$25</f>
        <v>0</v>
      </c>
      <c r="F39" s="515">
        <f t="shared" si="5"/>
        <v>0</v>
      </c>
      <c r="G39" s="515">
        <v>0</v>
      </c>
      <c r="H39" s="516">
        <f t="shared" si="6"/>
        <v>0</v>
      </c>
      <c r="I39" s="606"/>
      <c r="J39" s="652">
        <f>'Total Hrs'!$D$43</f>
        <v>0.40080971659919029</v>
      </c>
      <c r="K39" s="653">
        <f t="shared" si="7"/>
        <v>0</v>
      </c>
      <c r="L39" s="521"/>
      <c r="M39" s="516">
        <f t="shared" si="8"/>
        <v>0</v>
      </c>
    </row>
    <row r="40" spans="2:13">
      <c r="B40" s="520" t="s">
        <v>285</v>
      </c>
      <c r="C40" s="520"/>
      <c r="D40" s="515">
        <f>'Income Statement'!P38*'Drive Hours Recap'!E25</f>
        <v>0</v>
      </c>
      <c r="E40" s="515">
        <f>'Income Statement'!Q38*'Drive Hours Recap'!$E$25</f>
        <v>0</v>
      </c>
      <c r="F40" s="515">
        <f t="shared" si="5"/>
        <v>0</v>
      </c>
      <c r="G40" s="515">
        <v>0</v>
      </c>
      <c r="H40" s="516">
        <f t="shared" si="6"/>
        <v>0</v>
      </c>
      <c r="I40" s="619">
        <f>'Cando 2019'!N66</f>
        <v>15600</v>
      </c>
      <c r="J40" s="652">
        <f>'Total Hrs'!$D$43</f>
        <v>0.40080971659919029</v>
      </c>
      <c r="K40" s="653">
        <f t="shared" si="7"/>
        <v>6252.6315789473683</v>
      </c>
      <c r="L40" s="521">
        <f>-K40</f>
        <v>-6252.6315789473683</v>
      </c>
      <c r="M40" s="516">
        <f t="shared" si="8"/>
        <v>0</v>
      </c>
    </row>
    <row r="41" spans="2:13">
      <c r="B41" s="520" t="s">
        <v>286</v>
      </c>
      <c r="C41" s="520"/>
      <c r="D41" s="515">
        <f>'Income Statement'!P39*'Drive Hours Recap'!E25</f>
        <v>0</v>
      </c>
      <c r="E41" s="515">
        <f>'Income Statement'!Q39*'Drive Hours Recap'!$E$25</f>
        <v>0</v>
      </c>
      <c r="F41" s="515">
        <f t="shared" si="5"/>
        <v>0</v>
      </c>
      <c r="G41" s="515">
        <v>0</v>
      </c>
      <c r="H41" s="516">
        <f t="shared" si="6"/>
        <v>0</v>
      </c>
      <c r="I41" s="606"/>
      <c r="J41" s="652">
        <f>'Total Hrs'!$D$43</f>
        <v>0.40080971659919029</v>
      </c>
      <c r="K41" s="653">
        <f t="shared" si="7"/>
        <v>0</v>
      </c>
      <c r="L41" s="521"/>
      <c r="M41" s="516">
        <f t="shared" si="8"/>
        <v>0</v>
      </c>
    </row>
    <row r="42" spans="2:13">
      <c r="B42" s="520"/>
      <c r="C42" s="523" t="s">
        <v>466</v>
      </c>
      <c r="D42" s="515"/>
      <c r="E42" s="515"/>
      <c r="F42" s="515"/>
      <c r="G42" s="515"/>
      <c r="H42" s="516">
        <f t="shared" si="6"/>
        <v>0</v>
      </c>
      <c r="I42" s="606"/>
      <c r="J42" s="652">
        <f>'Total Hrs'!$D$43</f>
        <v>0.40080971659919029</v>
      </c>
      <c r="K42" s="653">
        <f t="shared" si="7"/>
        <v>0</v>
      </c>
      <c r="L42" s="521"/>
      <c r="M42" s="516">
        <f t="shared" si="8"/>
        <v>0</v>
      </c>
    </row>
    <row r="43" spans="2:13">
      <c r="B43" s="520" t="s">
        <v>287</v>
      </c>
      <c r="C43" s="520"/>
      <c r="D43" s="515">
        <f>'Income Statement'!P40*'Drive Hours Recap'!E25</f>
        <v>0</v>
      </c>
      <c r="E43" s="515">
        <f>'Income Statement'!Q40*'Drive Hours Recap'!$E$25</f>
        <v>0</v>
      </c>
      <c r="F43" s="515">
        <f t="shared" si="5"/>
        <v>0</v>
      </c>
      <c r="G43" s="517">
        <f>F16*0.0051</f>
        <v>96.469101000000052</v>
      </c>
      <c r="H43" s="518">
        <f t="shared" si="6"/>
        <v>96.469101000000052</v>
      </c>
      <c r="I43" s="614">
        <f>'Cando 2019'!N22</f>
        <v>5400</v>
      </c>
      <c r="J43" s="652">
        <f>'Total Hrs'!$D$43</f>
        <v>0.40080971659919029</v>
      </c>
      <c r="K43" s="653">
        <f t="shared" si="7"/>
        <v>2164.3724696356276</v>
      </c>
      <c r="L43" s="521">
        <f ca="1">M16*0.0051-K43</f>
        <v>-109.90618355614379</v>
      </c>
      <c r="M43" s="516">
        <f t="shared" ca="1" si="8"/>
        <v>2054.4662860794838</v>
      </c>
    </row>
    <row r="44" spans="2:13">
      <c r="B44" s="520" t="s">
        <v>288</v>
      </c>
      <c r="C44" s="520"/>
      <c r="D44" s="515">
        <f>'Income Statement'!R41*'Drive Hours Recap'!E25</f>
        <v>2569.3460376878616</v>
      </c>
      <c r="E44" s="515">
        <f>'Income Statement'!Q41*'Drive Hours Recap'!$E$25</f>
        <v>-2811.225879517071</v>
      </c>
      <c r="F44" s="515">
        <f t="shared" si="5"/>
        <v>-241.87984182920945</v>
      </c>
      <c r="G44" s="517">
        <f>0.015*F16-F44</f>
        <v>525.6124918292096</v>
      </c>
      <c r="H44" s="518">
        <f t="shared" si="6"/>
        <v>283.73265000000015</v>
      </c>
      <c r="I44" s="622">
        <f>'Cando 2019'!N89</f>
        <v>8568</v>
      </c>
      <c r="J44" s="652">
        <f>'Total Hrs'!$D$43</f>
        <v>0.40080971659919029</v>
      </c>
      <c r="K44" s="653">
        <f t="shared" si="7"/>
        <v>3434.1376518218626</v>
      </c>
      <c r="L44" s="521">
        <f ca="1">M16*0.015-K44</f>
        <v>2608.4102484119126</v>
      </c>
      <c r="M44" s="516">
        <f t="shared" ca="1" si="8"/>
        <v>6042.5479002337752</v>
      </c>
    </row>
    <row r="45" spans="2:13">
      <c r="B45" s="520" t="s">
        <v>289</v>
      </c>
      <c r="C45" s="520"/>
      <c r="D45" s="515">
        <f>'Income Statement'!P42*'Drive Hours Recap'!E25</f>
        <v>0</v>
      </c>
      <c r="E45" s="515">
        <f>'Income Statement'!Q42*'Drive Hours Recap'!$E$25</f>
        <v>9535.83753068642</v>
      </c>
      <c r="F45" s="515">
        <f t="shared" si="5"/>
        <v>9535.83753068642</v>
      </c>
      <c r="G45" s="517">
        <f>'Drive Hours Recap'!T21*'Drive Hours Recap'!L32*'Drive Hours Recap'!E25-'Recycling Adj.'!F45</f>
        <v>0</v>
      </c>
      <c r="H45" s="518">
        <f t="shared" si="6"/>
        <v>9535.83753068642</v>
      </c>
      <c r="I45" s="605"/>
      <c r="J45" s="652">
        <f>'Total Hrs'!$D$43</f>
        <v>0.40080971659919029</v>
      </c>
      <c r="K45" s="653">
        <f t="shared" si="7"/>
        <v>0</v>
      </c>
      <c r="L45" s="521">
        <f>-L59-L64</f>
        <v>0</v>
      </c>
      <c r="M45" s="516">
        <f t="shared" si="8"/>
        <v>0</v>
      </c>
    </row>
    <row r="46" spans="2:13">
      <c r="B46" s="520" t="s">
        <v>290</v>
      </c>
      <c r="C46" s="520"/>
      <c r="D46" s="515">
        <f>'Income Statement'!P43*'Drive Hours Recap'!E25</f>
        <v>687.71579565472689</v>
      </c>
      <c r="E46" s="515">
        <f>'Income Statement'!Q43*'Drive Hours Recap'!$E$25</f>
        <v>-359.31578877614072</v>
      </c>
      <c r="F46" s="515">
        <f t="shared" si="5"/>
        <v>328.40000687858617</v>
      </c>
      <c r="G46" s="515">
        <v>0</v>
      </c>
      <c r="H46" s="516">
        <f t="shared" si="6"/>
        <v>328.40000687858617</v>
      </c>
      <c r="I46" s="613">
        <f>'Cando 2019'!N14</f>
        <v>3000</v>
      </c>
      <c r="J46" s="652">
        <f>'Total Hrs'!$D$43</f>
        <v>0.40080971659919029</v>
      </c>
      <c r="K46" s="653">
        <f t="shared" si="7"/>
        <v>1202.429149797571</v>
      </c>
      <c r="L46" s="521"/>
      <c r="M46" s="516">
        <f t="shared" si="8"/>
        <v>1202.429149797571</v>
      </c>
    </row>
    <row r="47" spans="2:13">
      <c r="B47" s="520"/>
      <c r="C47" s="523"/>
      <c r="D47" s="515"/>
      <c r="E47" s="515"/>
      <c r="F47" s="515">
        <f t="shared" si="5"/>
        <v>0</v>
      </c>
      <c r="G47" s="515"/>
      <c r="H47" s="516">
        <f t="shared" si="6"/>
        <v>0</v>
      </c>
      <c r="I47" s="601"/>
      <c r="J47" s="652">
        <f>'Total Hrs'!$D$43</f>
        <v>0.40080971659919029</v>
      </c>
      <c r="K47" s="653">
        <f t="shared" si="7"/>
        <v>0</v>
      </c>
      <c r="L47" s="521"/>
      <c r="M47" s="516">
        <f t="shared" si="8"/>
        <v>0</v>
      </c>
    </row>
    <row r="48" spans="2:13">
      <c r="B48" s="520" t="s">
        <v>291</v>
      </c>
      <c r="C48" s="520"/>
      <c r="D48" s="515">
        <f>'Income Statement'!P44*'Drive Hours Recap'!E25</f>
        <v>0</v>
      </c>
      <c r="E48" s="515">
        <f>'Income Statement'!Q44*'Drive Hours Recap'!$E$25</f>
        <v>0</v>
      </c>
      <c r="F48" s="515">
        <f t="shared" si="5"/>
        <v>0</v>
      </c>
      <c r="G48" s="515">
        <v>0</v>
      </c>
      <c r="H48" s="516">
        <f t="shared" si="6"/>
        <v>0</v>
      </c>
      <c r="I48" s="606"/>
      <c r="J48" s="652">
        <f>'Total Hrs'!$D$43</f>
        <v>0.40080971659919029</v>
      </c>
      <c r="K48" s="653">
        <f t="shared" si="7"/>
        <v>0</v>
      </c>
      <c r="L48" s="521"/>
      <c r="M48" s="516">
        <f t="shared" si="8"/>
        <v>0</v>
      </c>
    </row>
    <row r="49" spans="2:13">
      <c r="B49" s="520" t="s">
        <v>335</v>
      </c>
      <c r="D49" s="515"/>
      <c r="E49" s="515"/>
      <c r="F49" s="515">
        <f t="shared" si="5"/>
        <v>0</v>
      </c>
      <c r="G49" s="515"/>
      <c r="H49" s="516">
        <f t="shared" si="6"/>
        <v>0</v>
      </c>
      <c r="I49" s="613">
        <f>'Cando 2019'!N16</f>
        <v>2100</v>
      </c>
      <c r="J49" s="652">
        <f>'Total Hrs'!$D$43</f>
        <v>0.40080971659919029</v>
      </c>
      <c r="K49" s="653">
        <f t="shared" si="7"/>
        <v>841.70040485829963</v>
      </c>
      <c r="L49" s="521"/>
      <c r="M49" s="516">
        <f t="shared" si="8"/>
        <v>841.70040485829963</v>
      </c>
    </row>
    <row r="50" spans="2:13">
      <c r="B50" s="520" t="s">
        <v>292</v>
      </c>
      <c r="C50" s="520"/>
      <c r="D50" s="515">
        <f>'Income Statement'!P45*'Drive Hours Recap'!E25</f>
        <v>1191.7171902524956</v>
      </c>
      <c r="E50" s="515">
        <f>'Income Statement'!Q45*'Drive Hours Recap'!$E$25</f>
        <v>-622.64500091349385</v>
      </c>
      <c r="F50" s="515">
        <f t="shared" si="5"/>
        <v>569.07218933900174</v>
      </c>
      <c r="G50" s="515">
        <v>0</v>
      </c>
      <c r="H50" s="516">
        <f t="shared" si="6"/>
        <v>569.07218933900174</v>
      </c>
      <c r="I50" s="613">
        <f>'Cando 2019'!N18</f>
        <v>3000</v>
      </c>
      <c r="J50" s="652">
        <f>'Total Hrs'!$D$43</f>
        <v>0.40080971659919029</v>
      </c>
      <c r="K50" s="653">
        <f t="shared" si="7"/>
        <v>1202.429149797571</v>
      </c>
      <c r="L50" s="521"/>
      <c r="M50" s="516">
        <f t="shared" si="8"/>
        <v>1202.429149797571</v>
      </c>
    </row>
    <row r="51" spans="2:13">
      <c r="B51" s="520"/>
      <c r="C51" s="520"/>
      <c r="D51" s="515"/>
      <c r="E51" s="515"/>
      <c r="F51" s="515">
        <f t="shared" si="5"/>
        <v>0</v>
      </c>
      <c r="G51" s="515"/>
      <c r="H51" s="516">
        <f t="shared" si="6"/>
        <v>0</v>
      </c>
      <c r="I51" s="601"/>
      <c r="J51" s="652">
        <f>'Total Hrs'!$D$43</f>
        <v>0.40080971659919029</v>
      </c>
      <c r="K51" s="653">
        <f t="shared" si="7"/>
        <v>0</v>
      </c>
      <c r="L51" s="521"/>
      <c r="M51" s="516">
        <f t="shared" si="8"/>
        <v>0</v>
      </c>
    </row>
    <row r="52" spans="2:13">
      <c r="B52" s="520" t="s">
        <v>293</v>
      </c>
      <c r="C52" s="520"/>
      <c r="D52" s="515">
        <f>'Income Statement'!P46*'Drive Hours Recap'!E25</f>
        <v>1006.9601233118026</v>
      </c>
      <c r="E52" s="515">
        <f>'Income Statement'!Q46*'Drive Hours Recap'!$E$25</f>
        <v>-526.11365517559398</v>
      </c>
      <c r="F52" s="515">
        <f t="shared" si="5"/>
        <v>480.84646813620861</v>
      </c>
      <c r="G52" s="515">
        <v>0</v>
      </c>
      <c r="H52" s="516">
        <f t="shared" si="6"/>
        <v>480.84646813620861</v>
      </c>
      <c r="I52" s="606"/>
      <c r="J52" s="652">
        <f>'Total Hrs'!$D$43</f>
        <v>0.40080971659919029</v>
      </c>
      <c r="K52" s="653">
        <f t="shared" si="7"/>
        <v>0</v>
      </c>
      <c r="L52" s="521"/>
      <c r="M52" s="516">
        <f t="shared" si="8"/>
        <v>0</v>
      </c>
    </row>
    <row r="53" spans="2:13">
      <c r="B53" s="520" t="s">
        <v>294</v>
      </c>
      <c r="C53" s="520"/>
      <c r="D53" s="515">
        <f>'Income Statement'!P47</f>
        <v>32835.390000000007</v>
      </c>
      <c r="E53" s="517">
        <f>'Income Statement'!Q47</f>
        <v>-17155.740979294915</v>
      </c>
      <c r="F53" s="517">
        <f t="shared" si="5"/>
        <v>15679.649020705092</v>
      </c>
      <c r="G53" s="517">
        <f>F53*'Drive Hours Recap'!E25-'Recycling Adj.'!F53</f>
        <v>-11331.607769954664</v>
      </c>
      <c r="H53" s="518">
        <f t="shared" si="6"/>
        <v>4348.0412507504279</v>
      </c>
      <c r="I53" s="613">
        <f>'Cando 2019'!N24</f>
        <v>1800</v>
      </c>
      <c r="J53" s="652">
        <f>'Total Hrs'!$D$43</f>
        <v>0.40080971659919029</v>
      </c>
      <c r="K53" s="653">
        <f t="shared" si="7"/>
        <v>721.45748987854256</v>
      </c>
      <c r="L53" s="521"/>
      <c r="M53" s="516">
        <f t="shared" si="8"/>
        <v>721.45748987854256</v>
      </c>
    </row>
    <row r="54" spans="2:13">
      <c r="B54" s="520"/>
      <c r="C54" s="520" t="s">
        <v>336</v>
      </c>
      <c r="D54" s="515"/>
      <c r="E54" s="515"/>
      <c r="F54" s="515">
        <f t="shared" si="5"/>
        <v>0</v>
      </c>
      <c r="G54" s="515"/>
      <c r="H54" s="516">
        <f t="shared" si="6"/>
        <v>0</v>
      </c>
      <c r="I54" s="613">
        <f>'Cando 2019'!N17</f>
        <v>5400</v>
      </c>
      <c r="J54" s="652">
        <f>'Total Hrs'!$D$43</f>
        <v>0.40080971659919029</v>
      </c>
      <c r="K54" s="653">
        <f t="shared" si="7"/>
        <v>2164.3724696356276</v>
      </c>
      <c r="L54" s="521"/>
      <c r="M54" s="516">
        <f t="shared" si="8"/>
        <v>2164.3724696356276</v>
      </c>
    </row>
    <row r="55" spans="2:13">
      <c r="B55" s="520"/>
      <c r="C55" s="520" t="s">
        <v>339</v>
      </c>
      <c r="D55" s="515"/>
      <c r="E55" s="515"/>
      <c r="F55" s="515">
        <f t="shared" si="5"/>
        <v>0</v>
      </c>
      <c r="G55" s="515"/>
      <c r="H55" s="516">
        <f t="shared" si="6"/>
        <v>0</v>
      </c>
      <c r="I55" s="613">
        <f>'Cando 2019'!N26</f>
        <v>1800</v>
      </c>
      <c r="J55" s="652">
        <f>'Total Hrs'!$D$43</f>
        <v>0.40080971659919029</v>
      </c>
      <c r="K55" s="653">
        <f t="shared" si="7"/>
        <v>721.45748987854256</v>
      </c>
      <c r="L55" s="521">
        <v>1000</v>
      </c>
      <c r="M55" s="516">
        <f t="shared" si="8"/>
        <v>1721.4574898785427</v>
      </c>
    </row>
    <row r="56" spans="2:13">
      <c r="B56" s="520"/>
      <c r="C56" s="520" t="s">
        <v>340</v>
      </c>
      <c r="D56" s="515"/>
      <c r="E56" s="515"/>
      <c r="F56" s="515">
        <f t="shared" si="5"/>
        <v>0</v>
      </c>
      <c r="G56" s="515"/>
      <c r="H56" s="516">
        <f t="shared" si="6"/>
        <v>0</v>
      </c>
      <c r="I56" s="613">
        <f>'Cando 2019'!N27</f>
        <v>2400</v>
      </c>
      <c r="J56" s="652">
        <f>'Total Hrs'!$D$43</f>
        <v>0.40080971659919029</v>
      </c>
      <c r="K56" s="653">
        <f t="shared" si="7"/>
        <v>961.94331983805671</v>
      </c>
      <c r="L56" s="521"/>
      <c r="M56" s="516">
        <f t="shared" si="8"/>
        <v>961.94331983805671</v>
      </c>
    </row>
    <row r="57" spans="2:13">
      <c r="B57" s="520"/>
      <c r="C57" s="520" t="s">
        <v>341</v>
      </c>
      <c r="D57" s="515"/>
      <c r="E57" s="515"/>
      <c r="F57" s="515">
        <f t="shared" si="5"/>
        <v>0</v>
      </c>
      <c r="G57" s="515"/>
      <c r="H57" s="516">
        <f t="shared" si="6"/>
        <v>0</v>
      </c>
      <c r="I57" s="613">
        <f>'Cando 2019'!N30</f>
        <v>6000</v>
      </c>
      <c r="J57" s="652">
        <f>'Total Hrs'!$D$43</f>
        <v>0.40080971659919029</v>
      </c>
      <c r="K57" s="653">
        <f t="shared" si="7"/>
        <v>2404.8582995951419</v>
      </c>
      <c r="L57" s="521"/>
      <c r="M57" s="516">
        <f t="shared" si="8"/>
        <v>2404.8582995951419</v>
      </c>
    </row>
    <row r="58" spans="2:13">
      <c r="B58" s="520"/>
      <c r="C58" s="520" t="s">
        <v>343</v>
      </c>
      <c r="D58" s="515"/>
      <c r="E58" s="515"/>
      <c r="F58" s="515">
        <f t="shared" si="5"/>
        <v>0</v>
      </c>
      <c r="G58" s="515"/>
      <c r="H58" s="516">
        <f t="shared" si="6"/>
        <v>0</v>
      </c>
      <c r="I58" s="613">
        <f>'Cando 2019'!N29</f>
        <v>1800</v>
      </c>
      <c r="J58" s="652">
        <f>'Total Hrs'!$D$43</f>
        <v>0.40080971659919029</v>
      </c>
      <c r="K58" s="653">
        <f t="shared" si="7"/>
        <v>721.45748987854256</v>
      </c>
      <c r="L58" s="521"/>
      <c r="M58" s="516">
        <f t="shared" si="8"/>
        <v>721.45748987854256</v>
      </c>
    </row>
    <row r="59" spans="2:13">
      <c r="B59" s="520"/>
      <c r="C59" s="520" t="s">
        <v>344</v>
      </c>
      <c r="D59" s="515"/>
      <c r="E59" s="515"/>
      <c r="F59" s="515">
        <f t="shared" si="5"/>
        <v>0</v>
      </c>
      <c r="G59" s="515"/>
      <c r="H59" s="516">
        <f t="shared" si="6"/>
        <v>0</v>
      </c>
      <c r="I59" s="613">
        <f>'Cando 2019'!N31</f>
        <v>18637.5</v>
      </c>
      <c r="J59" s="652">
        <f>'Total Hrs'!$D$43</f>
        <v>0.40080971659919029</v>
      </c>
      <c r="K59" s="653">
        <f t="shared" si="7"/>
        <v>7470.0910931174094</v>
      </c>
      <c r="L59" s="521">
        <f>-K59</f>
        <v>-7470.0910931174094</v>
      </c>
      <c r="M59" s="516">
        <f t="shared" si="8"/>
        <v>0</v>
      </c>
    </row>
    <row r="60" spans="2:13">
      <c r="B60" s="520" t="s">
        <v>476</v>
      </c>
      <c r="C60" s="520"/>
      <c r="D60" s="515">
        <f>'Income Statement'!R48</f>
        <v>1423.0180936392462</v>
      </c>
      <c r="E60" s="662">
        <f>'Income Statement'!$R$48*'Drive Hours Recap'!E$25-D60</f>
        <v>-1028.4084079544934</v>
      </c>
      <c r="F60" s="515">
        <f t="shared" si="5"/>
        <v>394.60968568475278</v>
      </c>
      <c r="G60" s="515">
        <f>-F60</f>
        <v>-394.60968568475278</v>
      </c>
      <c r="H60" s="516">
        <f t="shared" si="6"/>
        <v>0</v>
      </c>
      <c r="I60" s="607"/>
      <c r="J60" s="652">
        <f>'Total Hrs'!$D$43</f>
        <v>0.40080971659919029</v>
      </c>
      <c r="K60" s="653">
        <f t="shared" si="7"/>
        <v>0</v>
      </c>
      <c r="L60" s="521"/>
      <c r="M60" s="516">
        <f t="shared" si="8"/>
        <v>0</v>
      </c>
    </row>
    <row r="61" spans="2:13">
      <c r="B61" s="520" t="s">
        <v>295</v>
      </c>
      <c r="C61" s="520"/>
      <c r="D61" s="515">
        <f>'Income Statement'!P49</f>
        <v>0</v>
      </c>
      <c r="E61" s="515">
        <f>'Income Statement'!Q49*'Drive Hours Recap'!$E$25</f>
        <v>0</v>
      </c>
      <c r="F61" s="515">
        <f t="shared" si="5"/>
        <v>0</v>
      </c>
      <c r="G61" s="515">
        <v>0</v>
      </c>
      <c r="H61" s="516">
        <f t="shared" si="6"/>
        <v>0</v>
      </c>
      <c r="I61" s="606"/>
      <c r="J61" s="652">
        <f>'Total Hrs'!$D$43</f>
        <v>0.40080971659919029</v>
      </c>
      <c r="K61" s="653">
        <f t="shared" si="7"/>
        <v>0</v>
      </c>
      <c r="L61" s="521"/>
      <c r="M61" s="516">
        <f t="shared" si="8"/>
        <v>0</v>
      </c>
    </row>
    <row r="62" spans="2:13">
      <c r="B62" s="520"/>
      <c r="C62" s="520" t="s">
        <v>338</v>
      </c>
      <c r="D62" s="515"/>
      <c r="E62" s="515"/>
      <c r="F62" s="515">
        <f t="shared" si="5"/>
        <v>0</v>
      </c>
      <c r="G62" s="515"/>
      <c r="H62" s="516">
        <f t="shared" si="6"/>
        <v>0</v>
      </c>
      <c r="I62" s="614">
        <f>'Cando 2019'!N20</f>
        <v>1524</v>
      </c>
      <c r="J62" s="652">
        <f>'Total Hrs'!$D$43</f>
        <v>0.40080971659919029</v>
      </c>
      <c r="K62" s="653">
        <f t="shared" si="7"/>
        <v>610.83400809716602</v>
      </c>
      <c r="L62" s="521"/>
      <c r="M62" s="516">
        <f t="shared" si="8"/>
        <v>610.83400809716602</v>
      </c>
    </row>
    <row r="63" spans="2:13">
      <c r="B63" s="520"/>
      <c r="C63" s="520" t="s">
        <v>337</v>
      </c>
      <c r="D63" s="515"/>
      <c r="E63" s="515"/>
      <c r="F63" s="515">
        <f t="shared" si="5"/>
        <v>0</v>
      </c>
      <c r="G63" s="515"/>
      <c r="H63" s="516">
        <f t="shared" si="6"/>
        <v>0</v>
      </c>
      <c r="I63" s="606"/>
      <c r="J63" s="652">
        <f>'Total Hrs'!$D$43</f>
        <v>0.40080971659919029</v>
      </c>
      <c r="K63" s="653">
        <f t="shared" si="7"/>
        <v>0</v>
      </c>
      <c r="L63" s="521"/>
      <c r="M63" s="516">
        <f t="shared" si="8"/>
        <v>0</v>
      </c>
    </row>
    <row r="64" spans="2:13">
      <c r="B64" s="520"/>
      <c r="C64" s="520" t="s">
        <v>513</v>
      </c>
      <c r="D64" s="515"/>
      <c r="E64" s="515"/>
      <c r="F64" s="515">
        <f t="shared" si="5"/>
        <v>0</v>
      </c>
      <c r="G64" s="515"/>
      <c r="H64" s="516">
        <f t="shared" si="6"/>
        <v>0</v>
      </c>
      <c r="I64" s="613">
        <f>'Cando 2019'!N28</f>
        <v>69999.995999999999</v>
      </c>
      <c r="J64" s="652">
        <f>'Total Hrs'!$D$43</f>
        <v>0.40080971659919029</v>
      </c>
      <c r="K64" s="653">
        <f t="shared" si="7"/>
        <v>28056.678558704454</v>
      </c>
      <c r="L64" s="521">
        <f>-L59</f>
        <v>7470.0910931174094</v>
      </c>
      <c r="M64" s="516">
        <f t="shared" si="8"/>
        <v>35526.769651821865</v>
      </c>
    </row>
    <row r="65" spans="2:19">
      <c r="B65" s="520"/>
      <c r="C65" s="520" t="s">
        <v>445</v>
      </c>
      <c r="D65" s="515"/>
      <c r="E65" s="515"/>
      <c r="F65" s="515">
        <f t="shared" si="5"/>
        <v>0</v>
      </c>
      <c r="G65" s="515"/>
      <c r="H65" s="516">
        <f t="shared" si="6"/>
        <v>0</v>
      </c>
      <c r="I65" s="621">
        <f>'Cando 2019'!N82</f>
        <v>21796</v>
      </c>
      <c r="J65" s="652">
        <f>'Total Hrs'!$D$43</f>
        <v>0.40080971659919029</v>
      </c>
      <c r="K65" s="653">
        <f t="shared" si="7"/>
        <v>8736.0485829959507</v>
      </c>
      <c r="L65" s="521"/>
      <c r="M65" s="516">
        <f t="shared" si="8"/>
        <v>8736.0485829959507</v>
      </c>
    </row>
    <row r="66" spans="2:19">
      <c r="B66" s="627" t="s">
        <v>508</v>
      </c>
      <c r="C66" s="520"/>
      <c r="D66" s="515"/>
      <c r="E66" s="515"/>
      <c r="F66" s="515"/>
      <c r="G66" s="515"/>
      <c r="H66" s="573"/>
      <c r="I66" s="628"/>
      <c r="J66" s="629"/>
      <c r="K66" s="573"/>
      <c r="L66" s="580">
        <f>2100*0.5/2</f>
        <v>525</v>
      </c>
      <c r="M66" s="573">
        <f t="shared" si="8"/>
        <v>525</v>
      </c>
    </row>
    <row r="67" spans="2:19">
      <c r="B67" s="520" t="s">
        <v>296</v>
      </c>
      <c r="C67" s="520"/>
      <c r="D67" s="525">
        <f t="shared" ref="D67:H67" si="9">SUM(D19:D65)</f>
        <v>217845.10218397388</v>
      </c>
      <c r="E67" s="525">
        <f>SUM(E19:E65)</f>
        <v>-135758.85476648129</v>
      </c>
      <c r="F67" s="525">
        <f t="shared" si="9"/>
        <v>82086.247417492574</v>
      </c>
      <c r="G67" s="525">
        <f t="shared" si="9"/>
        <v>-41877.075936776819</v>
      </c>
      <c r="H67" s="573">
        <f t="shared" si="9"/>
        <v>40209.171480715755</v>
      </c>
      <c r="I67" s="574">
        <f>SUM(I19:I66)</f>
        <v>529337.51190639997</v>
      </c>
      <c r="J67" s="573"/>
      <c r="K67" s="664">
        <f>SUM(K19:K66)</f>
        <v>143769.44809203886</v>
      </c>
      <c r="L67" s="664">
        <f ca="1">SUM(L19:L66)</f>
        <v>18236.273699806305</v>
      </c>
      <c r="M67" s="667">
        <f ca="1">SUM(M19:M66)</f>
        <v>162005.72179184516</v>
      </c>
      <c r="P67" s="626">
        <f>D67+'Garbage Adj.'!D67</f>
        <v>715294.55054698954</v>
      </c>
      <c r="Q67" s="626">
        <f ca="1">L67+'Garbage Adj.'!L67</f>
        <v>99258.380387425699</v>
      </c>
      <c r="S67" s="626">
        <f>G67+'Garbage Adj.'!G67</f>
        <v>-69803.464069257549</v>
      </c>
    </row>
    <row r="68" spans="2:19">
      <c r="B68" s="520"/>
      <c r="C68" s="520"/>
      <c r="D68" s="515"/>
      <c r="E68" s="539"/>
      <c r="F68" s="539"/>
      <c r="G68" s="539"/>
      <c r="H68" s="539"/>
      <c r="I68" s="630">
        <f>'Cando 2019'!N92</f>
        <v>529337.51190639997</v>
      </c>
      <c r="J68" s="595"/>
      <c r="K68" s="588"/>
      <c r="L68" s="639"/>
      <c r="M68" s="631"/>
    </row>
    <row r="69" spans="2:19">
      <c r="B69" s="524" t="s">
        <v>34</v>
      </c>
      <c r="C69" s="524"/>
      <c r="D69" s="525"/>
      <c r="E69" s="540"/>
      <c r="F69" s="540"/>
      <c r="G69" s="540"/>
      <c r="H69" s="540"/>
      <c r="I69" s="611">
        <f>I68-I67</f>
        <v>0</v>
      </c>
      <c r="J69" s="539"/>
      <c r="K69" s="539"/>
      <c r="L69" s="596"/>
      <c r="M69" s="596"/>
    </row>
    <row r="70" spans="2:19">
      <c r="D70" s="519"/>
      <c r="J70" s="596"/>
      <c r="K70" s="596"/>
      <c r="L70" s="520"/>
      <c r="M70" s="520"/>
    </row>
    <row r="71" spans="2:19" ht="15" customHeight="1">
      <c r="D71" s="519"/>
      <c r="I71" s="681" t="s">
        <v>469</v>
      </c>
    </row>
    <row r="72" spans="2:19">
      <c r="I72" s="681"/>
    </row>
    <row r="73" spans="2:19">
      <c r="E73" s="626"/>
      <c r="I73" s="681"/>
    </row>
    <row r="74" spans="2:19">
      <c r="I74" s="681"/>
    </row>
    <row r="75" spans="2:19">
      <c r="I75" s="681"/>
    </row>
    <row r="76" spans="2:19">
      <c r="I76" s="681"/>
    </row>
    <row r="77" spans="2:19">
      <c r="E77" s="626"/>
      <c r="I77" s="681"/>
    </row>
  </sheetData>
  <mergeCells count="1">
    <mergeCell ref="I71:I77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AT113"/>
  <sheetViews>
    <sheetView showGridLines="0" showOutlineSymbols="0" topLeftCell="A2" zoomScale="120" zoomScaleNormal="120" workbookViewId="0">
      <selection activeCell="C11" sqref="C11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683" t="s">
        <v>106</v>
      </c>
      <c r="C2" s="683"/>
      <c r="D2" s="43"/>
      <c r="E2" s="43"/>
      <c r="F2" s="169" t="s">
        <v>112</v>
      </c>
      <c r="G2" s="98"/>
      <c r="H2" s="98"/>
      <c r="I2" s="99" t="s">
        <v>125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684" t="s">
        <v>92</v>
      </c>
      <c r="AG2" s="685"/>
      <c r="AH2" s="685"/>
      <c r="AI2" s="686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>'Garbage Adj.'!H16</f>
        <v>201962.40000000002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'Garbage Adj.'!H67</f>
        <v>202686.30390586721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607.46670503682753</v>
      </c>
      <c r="T6" s="118">
        <f>EXP(y_inter1-(slope*LN(+S6)))</f>
        <v>3.82193052873283</v>
      </c>
      <c r="U6" s="119">
        <f>(+S6*T6/100)/100</f>
        <v>0.23216955451689925</v>
      </c>
      <c r="V6" s="119">
        <f>regDebt_weighted</f>
        <v>3.5860000000000003E-2</v>
      </c>
      <c r="W6" s="119">
        <f>+U6-V6</f>
        <v>0.19630955451689924</v>
      </c>
      <c r="X6" s="119">
        <f>+((W6*(1-0.34))-Pfd_weighted)/Equity_percent</f>
        <v>0.35864623831730669</v>
      </c>
      <c r="Y6" s="119">
        <f>X6*equityP</f>
        <v>0.21518774299038401</v>
      </c>
      <c r="Z6" s="119">
        <f>+Y6/(1-taxrate)</f>
        <v>0.27238954808909366</v>
      </c>
      <c r="AA6" s="119">
        <f>debtP*Debt_Rate</f>
        <v>2.6000000000000002E-2</v>
      </c>
      <c r="AB6" s="119">
        <f>AA6+Z6</f>
        <v>0.29838954808909368</v>
      </c>
      <c r="AC6" s="119">
        <f>AB6/(S6/100)</f>
        <v>4.912031319823592E-2</v>
      </c>
      <c r="AD6" s="119">
        <f>1-AC6</f>
        <v>0.95087968680176405</v>
      </c>
      <c r="AE6" s="120">
        <f>expenses/(AD6)</f>
        <v>213156.62403893849</v>
      </c>
      <c r="AF6" s="121">
        <f>+AE6-Revenue</f>
        <v>11194.224038938468</v>
      </c>
      <c r="AG6" s="122">
        <f ca="1">+AF6/$J$49</f>
        <v>11984.754351190059</v>
      </c>
      <c r="AH6" s="122">
        <f ca="1">+AG6*$J$47</f>
        <v>240.89356245892017</v>
      </c>
      <c r="AI6" s="120">
        <f ca="1">ROUND(+AH6+AE6,5)</f>
        <v>213397.51759999999</v>
      </c>
    </row>
    <row r="7" spans="1:35" ht="15.75">
      <c r="A7" s="43"/>
      <c r="B7" s="134" t="s">
        <v>104</v>
      </c>
      <c r="C7" s="130">
        <f>Assets!P32</f>
        <v>33246.661640123319</v>
      </c>
      <c r="D7" s="116"/>
      <c r="E7" s="43"/>
      <c r="F7" s="141">
        <v>1</v>
      </c>
      <c r="G7" s="76"/>
      <c r="H7" s="79" t="s">
        <v>32</v>
      </c>
      <c r="I7" s="80">
        <f>IF(A65=TRUE,C5,0)</f>
        <v>201962.40000000002</v>
      </c>
      <c r="J7" s="80">
        <f ca="1">(+$I8/($R51))-I7</f>
        <v>10476.996603954758</v>
      </c>
      <c r="K7" s="80">
        <f ca="1">+I7+J7</f>
        <v>212439.39660395478</v>
      </c>
      <c r="L7" s="80">
        <f ca="1">((+J7/J49*K35)-J7)</f>
        <v>225.45922138217247</v>
      </c>
      <c r="M7" s="80">
        <f ca="1">IFERROR(+K7+L7,0.00001)</f>
        <v>212664.85582533694</v>
      </c>
      <c r="O7" s="49"/>
      <c r="P7" s="43"/>
      <c r="R7" s="35">
        <v>2</v>
      </c>
      <c r="S7" s="123">
        <f>Revenue/Investment*100</f>
        <v>607.46670503682753</v>
      </c>
      <c r="T7" s="6">
        <f>EXP(y_inter1-(slope*LN(+S7)))</f>
        <v>3.82193052873283</v>
      </c>
      <c r="U7" s="4">
        <f t="shared" ref="U7:U9" si="0">(+S7*T7/100)/100</f>
        <v>0.23216955451689925</v>
      </c>
      <c r="V7" s="4">
        <f>regDebt_weighted</f>
        <v>3.5860000000000003E-2</v>
      </c>
      <c r="W7" s="4">
        <f t="shared" ref="W7:W9" si="1">+U7-V7</f>
        <v>0.19630955451689924</v>
      </c>
      <c r="X7" s="4">
        <f>+((W7*(1-0.34))-Pfd_weighted)/Equity_percent</f>
        <v>0.35864623831730669</v>
      </c>
      <c r="Y7" s="4">
        <f>X7*equityP</f>
        <v>0.21518774299038401</v>
      </c>
      <c r="Z7" s="4">
        <f>+Y7/(1-taxrate)</f>
        <v>0.27238954808909366</v>
      </c>
      <c r="AA7" s="4">
        <f>debtP*Debt_Rate</f>
        <v>2.6000000000000002E-2</v>
      </c>
      <c r="AB7" s="4">
        <f t="shared" ref="AB7:AB9" si="2">AA7+Z7</f>
        <v>0.29838954808909368</v>
      </c>
      <c r="AC7" s="4">
        <f t="shared" ref="AC7:AC9" si="3">AB7/(S7/100)</f>
        <v>4.912031319823592E-2</v>
      </c>
      <c r="AD7" s="4">
        <f t="shared" ref="AD7:AD9" si="4">1-AC7</f>
        <v>0.95087968680176405</v>
      </c>
      <c r="AE7" s="124">
        <f>expenses/(AD7)</f>
        <v>213156.62403893849</v>
      </c>
      <c r="AF7" s="125">
        <f>+AE7-Revenue</f>
        <v>11194.224038938468</v>
      </c>
      <c r="AG7" s="126">
        <f ca="1">+AF7/$J$49</f>
        <v>11984.754351190059</v>
      </c>
      <c r="AH7" s="126">
        <f ca="1">+AG7*$J$47</f>
        <v>240.89356245892017</v>
      </c>
      <c r="AI7" s="124">
        <f t="shared" ref="AI7:AI9" ca="1" si="5">ROUND(+AH7+AE7,5)</f>
        <v>213397.51759999999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202686.30390586721</v>
      </c>
      <c r="J8" s="72"/>
      <c r="K8" s="80">
        <f>+I8</f>
        <v>202686.30390586721</v>
      </c>
      <c r="L8" s="80">
        <f ca="1">+L7</f>
        <v>225.45922138217247</v>
      </c>
      <c r="M8" s="80">
        <f ca="1">IFERROR(+K8+L8,0.00001)</f>
        <v>202911.76312724937</v>
      </c>
      <c r="O8" s="49"/>
      <c r="P8" s="43"/>
      <c r="R8" s="5">
        <v>3</v>
      </c>
      <c r="S8" s="123">
        <f>Revenue/Investment*100</f>
        <v>607.46670503682753</v>
      </c>
      <c r="T8" s="6">
        <f>EXP(y_inter1-(slope*LN(+S8)))</f>
        <v>3.82193052873283</v>
      </c>
      <c r="U8" s="4">
        <f t="shared" si="0"/>
        <v>0.23216955451689925</v>
      </c>
      <c r="V8" s="4">
        <f>regDebt_weighted</f>
        <v>3.5860000000000003E-2</v>
      </c>
      <c r="W8" s="4">
        <f t="shared" si="1"/>
        <v>0.19630955451689924</v>
      </c>
      <c r="X8" s="4">
        <f>+((W8*(1-0.34))-Pfd_weighted)/Equity_percent</f>
        <v>0.35864623831730669</v>
      </c>
      <c r="Y8" s="4">
        <f>X8*equityP</f>
        <v>0.21518774299038401</v>
      </c>
      <c r="Z8" s="4">
        <f>+Y8/(1-taxrate)</f>
        <v>0.27238954808909366</v>
      </c>
      <c r="AA8" s="4">
        <f>debtP*Debt_Rate</f>
        <v>2.6000000000000002E-2</v>
      </c>
      <c r="AB8" s="4">
        <f t="shared" si="2"/>
        <v>0.29838954808909368</v>
      </c>
      <c r="AC8" s="4">
        <f t="shared" si="3"/>
        <v>4.912031319823592E-2</v>
      </c>
      <c r="AD8" s="4">
        <f t="shared" si="4"/>
        <v>0.95087968680176405</v>
      </c>
      <c r="AE8" s="124">
        <f>expenses/(AD8)</f>
        <v>213156.62403893849</v>
      </c>
      <c r="AF8" s="125">
        <f>+AE8-Revenue</f>
        <v>11194.224038938468</v>
      </c>
      <c r="AG8" s="126">
        <f ca="1">+AF8/$J$49</f>
        <v>11984.754351190059</v>
      </c>
      <c r="AH8" s="126">
        <f ca="1">+AG8*$J$47</f>
        <v>240.89356245892017</v>
      </c>
      <c r="AI8" s="124">
        <f t="shared" ca="1" si="5"/>
        <v>213397.51759999999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6">+F8+1</f>
        <v>3</v>
      </c>
      <c r="G9" s="76"/>
      <c r="H9" s="79" t="s">
        <v>34</v>
      </c>
      <c r="I9" s="81">
        <f>+I7-I8</f>
        <v>-723.9039058671915</v>
      </c>
      <c r="J9" s="72"/>
      <c r="K9" s="81">
        <f ca="1">+K7-K8</f>
        <v>9753.0926980875665</v>
      </c>
      <c r="L9" s="76"/>
      <c r="M9" s="82">
        <f ca="1">+M7-M8</f>
        <v>9753.0926980875665</v>
      </c>
      <c r="O9" s="49"/>
      <c r="P9" s="43"/>
      <c r="R9" s="7">
        <v>4</v>
      </c>
      <c r="S9" s="123">
        <f>Revenue/Investment*100</f>
        <v>607.46670503682753</v>
      </c>
      <c r="T9" s="6">
        <f>EXP(y_inter1-(slope*LN(+S9)))</f>
        <v>3.82193052873283</v>
      </c>
      <c r="U9" s="4">
        <f t="shared" si="0"/>
        <v>0.23216955451689925</v>
      </c>
      <c r="V9" s="4">
        <f>regDebt_weighted</f>
        <v>3.5860000000000003E-2</v>
      </c>
      <c r="W9" s="4">
        <f t="shared" si="1"/>
        <v>0.19630955451689924</v>
      </c>
      <c r="X9" s="4">
        <f>+((W9*(1-0.34))-Pfd_weighted)/Equity_percent</f>
        <v>0.35864623831730669</v>
      </c>
      <c r="Y9" s="4">
        <f>X9*equityP</f>
        <v>0.21518774299038401</v>
      </c>
      <c r="Z9" s="4">
        <f>+Y9/(1-taxrate)</f>
        <v>0.27238954808909366</v>
      </c>
      <c r="AA9" s="4">
        <f>debtP*Debt_Rate</f>
        <v>2.6000000000000002E-2</v>
      </c>
      <c r="AB9" s="4">
        <f t="shared" si="2"/>
        <v>0.29838954808909368</v>
      </c>
      <c r="AC9" s="4">
        <f t="shared" si="3"/>
        <v>4.912031319823592E-2</v>
      </c>
      <c r="AD9" s="4">
        <f t="shared" si="4"/>
        <v>0.95087968680176405</v>
      </c>
      <c r="AE9" s="124">
        <f>expenses/(AD9)</f>
        <v>213156.62403893849</v>
      </c>
      <c r="AF9" s="125">
        <f>+AE9-Revenue</f>
        <v>11194.224038938468</v>
      </c>
      <c r="AG9" s="126">
        <f ca="1">+AF9/$J$49</f>
        <v>11984.754351190059</v>
      </c>
      <c r="AH9" s="126">
        <f ca="1">+AG9*$J$47</f>
        <v>240.89356245892017</v>
      </c>
      <c r="AI9" s="124">
        <f t="shared" ca="1" si="5"/>
        <v>213397.51759999999</v>
      </c>
    </row>
    <row r="10" spans="1:35" ht="15.75">
      <c r="A10" s="43"/>
      <c r="B10" s="203" t="s">
        <v>98</v>
      </c>
      <c r="C10" s="131">
        <v>0.21</v>
      </c>
      <c r="D10" s="116"/>
      <c r="E10" s="43"/>
      <c r="F10" s="142">
        <f t="shared" si="6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1.4999999999999999E-2</v>
      </c>
      <c r="D11" s="116"/>
      <c r="E11" s="43"/>
      <c r="F11" s="142">
        <f t="shared" si="6"/>
        <v>5</v>
      </c>
      <c r="G11" s="76"/>
      <c r="H11" s="79" t="s">
        <v>35</v>
      </c>
      <c r="I11" s="80">
        <f>+K11</f>
        <v>864.41320264320632</v>
      </c>
      <c r="J11" s="72"/>
      <c r="K11" s="80">
        <f>+M27</f>
        <v>864.41320264320632</v>
      </c>
      <c r="L11" s="76"/>
      <c r="M11" s="80">
        <f>+K11</f>
        <v>864.41320264320632</v>
      </c>
      <c r="O11" s="49"/>
      <c r="P11" s="43"/>
      <c r="R11" s="3">
        <v>1</v>
      </c>
      <c r="S11" s="117">
        <f ca="1">IF((AI6/Investment*100)&gt;0,(AI6/Investment*100),0)</f>
        <v>641.86148946294168</v>
      </c>
      <c r="T11" s="118">
        <f ca="1">EXP(y_inter1-(slope*LN(S11)))</f>
        <v>3.6806980846527617</v>
      </c>
      <c r="U11" s="119">
        <f ca="1">(+S11*T11/100)/100</f>
        <v>0.2362498354878618</v>
      </c>
      <c r="V11" s="119">
        <f>regDebt_weighted</f>
        <v>3.5860000000000003E-2</v>
      </c>
      <c r="W11" s="119">
        <f ca="1">+U11-V11</f>
        <v>0.20038983548786179</v>
      </c>
      <c r="X11" s="119">
        <f ca="1">+((W11*(1-0.34))-Pfd_weighted)/Equity_percent</f>
        <v>0.36647468436624647</v>
      </c>
      <c r="Y11" s="119">
        <f ca="1">+X11*equityP</f>
        <v>0.21988481061974788</v>
      </c>
      <c r="Z11" s="119">
        <f ca="1">+Y11/(1-taxrate)</f>
        <v>0.27833520331613654</v>
      </c>
      <c r="AA11" s="119">
        <f>debtP*Debt_Rate</f>
        <v>2.6000000000000002E-2</v>
      </c>
      <c r="AB11" s="119">
        <f ca="1">+AA11+Z11</f>
        <v>0.30433520331613656</v>
      </c>
      <c r="AC11" s="119">
        <f ca="1">+AB11/(S11/100)</f>
        <v>4.7414466876768056E-2</v>
      </c>
      <c r="AD11" s="119">
        <f ca="1">1-AC11</f>
        <v>0.95258553312323191</v>
      </c>
      <c r="AE11" s="120">
        <f ca="1">expenses/(AD11)</f>
        <v>212774.91296904522</v>
      </c>
      <c r="AF11" s="121">
        <f ca="1">+AE11-Revenue</f>
        <v>10812.512969045201</v>
      </c>
      <c r="AG11" s="122">
        <f ca="1">+AF11/$J$49</f>
        <v>11576.087042952537</v>
      </c>
      <c r="AH11" s="122">
        <f ca="1">+AG11*$J$47</f>
        <v>232.67934956334599</v>
      </c>
      <c r="AI11" s="120">
        <f ca="1">ROUND(+AH11+AE11,5)</f>
        <v>213007.59232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6"/>
        <v>6</v>
      </c>
      <c r="G12" s="76"/>
      <c r="H12" s="79" t="s">
        <v>37</v>
      </c>
      <c r="I12" s="80">
        <f ca="1">IF(I14&lt;0,0,+J32*I14)</f>
        <v>0</v>
      </c>
      <c r="J12" s="80">
        <f ca="1">+K12-I12</f>
        <v>1866.6226940433155</v>
      </c>
      <c r="K12" s="80">
        <f ca="1">+(K9-K11)*taxrate</f>
        <v>1866.6226940433155</v>
      </c>
      <c r="L12" s="76"/>
      <c r="M12" s="80">
        <f ca="1">+K12</f>
        <v>1866.6226940433155</v>
      </c>
      <c r="O12" s="49"/>
      <c r="P12" s="43"/>
      <c r="R12" s="35">
        <v>2</v>
      </c>
      <c r="S12" s="123">
        <f ca="1">IF((AI7/Investment*100)&gt;0,(AI7/Investment*100),0)</f>
        <v>641.86148946294168</v>
      </c>
      <c r="T12" s="34">
        <f ca="1">EXP(y_inter2-(slope*LN(+S12)))</f>
        <v>3.6283297960321255</v>
      </c>
      <c r="U12" s="4">
        <f ca="1">(+S12*T12/100)/100</f>
        <v>0.23288851671439517</v>
      </c>
      <c r="V12" s="4">
        <f>regDebt_weighted</f>
        <v>3.5860000000000003E-2</v>
      </c>
      <c r="W12" s="4">
        <f ca="1">+U12-V12</f>
        <v>0.19702851671439517</v>
      </c>
      <c r="X12" s="4">
        <f ca="1">+((W12*(1-0.34))-Pfd_weighted)/Equity_percent</f>
        <v>0.36002564253343261</v>
      </c>
      <c r="Y12" s="4">
        <f ca="1">+X12*equityP</f>
        <v>0.21601538552005956</v>
      </c>
      <c r="Z12" s="4">
        <f ca="1">+Y12/(1-taxrate)</f>
        <v>0.27343719686083484</v>
      </c>
      <c r="AA12" s="4">
        <f>debtP*Debt_Rate</f>
        <v>2.6000000000000002E-2</v>
      </c>
      <c r="AB12" s="4">
        <f ca="1">+AA12+Z12</f>
        <v>0.29943719686083486</v>
      </c>
      <c r="AC12" s="4">
        <f ca="1">+AB12/(S12/100)</f>
        <v>4.6651372885975748E-2</v>
      </c>
      <c r="AD12" s="4">
        <f ca="1">1-AC12</f>
        <v>0.95334862711402424</v>
      </c>
      <c r="AE12" s="124">
        <f ca="1">expenses/(AD12)</f>
        <v>212604.6003962254</v>
      </c>
      <c r="AF12" s="125">
        <f ca="1">+AE12-Revenue</f>
        <v>10642.20039622538</v>
      </c>
      <c r="AG12" s="126">
        <f ca="1">+AF12/$J$49</f>
        <v>11393.747084321667</v>
      </c>
      <c r="AH12" s="126">
        <f ca="1">+AG12*$J$47</f>
        <v>229.01431639486552</v>
      </c>
      <c r="AI12" s="124">
        <f t="shared" ref="AI12:AI14" ca="1" si="7">ROUND(+AH12+AE12,5)</f>
        <v>212833.61470999999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6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641.86148946294168</v>
      </c>
      <c r="T13" s="6">
        <f ca="1">EXP(y_inter3-(slope*LN(S13)))</f>
        <v>3.5930536186520676</v>
      </c>
      <c r="U13" s="4">
        <f ca="1">(+S13*T13/100)/100</f>
        <v>0.23062427473882285</v>
      </c>
      <c r="V13" s="4">
        <f>regDebt_weighted</f>
        <v>3.5860000000000003E-2</v>
      </c>
      <c r="W13" s="4">
        <f ca="1">+U13-V13</f>
        <v>0.19476427473882285</v>
      </c>
      <c r="X13" s="4">
        <f ca="1">+((W13*(1-0.34))-Pfd_weighted)/Equity_percent</f>
        <v>0.35568145734774148</v>
      </c>
      <c r="Y13" s="4">
        <f ca="1">+X13*equityP</f>
        <v>0.21340887440864489</v>
      </c>
      <c r="Z13" s="4">
        <f ca="1">+Y13/(1-taxrate)</f>
        <v>0.2701378157071454</v>
      </c>
      <c r="AA13" s="4">
        <f>debtP*Debt_Rate</f>
        <v>2.6000000000000002E-2</v>
      </c>
      <c r="AB13" s="4">
        <f ca="1">+AA13+Z13</f>
        <v>0.29613781570714542</v>
      </c>
      <c r="AC13" s="4">
        <f ca="1">+AB13/(S13/100)</f>
        <v>4.6137339686001394E-2</v>
      </c>
      <c r="AD13" s="4">
        <f ca="1">1-AC13</f>
        <v>0.95386266031399858</v>
      </c>
      <c r="AE13" s="124">
        <f ca="1">expenses/(AD13)</f>
        <v>212490.02853214281</v>
      </c>
      <c r="AF13" s="125">
        <f ca="1">+AE13-Revenue</f>
        <v>10527.628532142786</v>
      </c>
      <c r="AG13" s="126">
        <f ca="1">+AF13/$J$49</f>
        <v>11271.084214451319</v>
      </c>
      <c r="AH13" s="126">
        <f ca="1">+AG13*$J$47</f>
        <v>226.5487927104715</v>
      </c>
      <c r="AI13" s="124">
        <f t="shared" ca="1" si="7"/>
        <v>212716.57732000001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6"/>
        <v>8</v>
      </c>
      <c r="G14" s="76"/>
      <c r="H14" s="76" t="s">
        <v>38</v>
      </c>
      <c r="I14" s="106">
        <f ca="1">+I9-SUM(I11:I13)</f>
        <v>-1588.3171085103977</v>
      </c>
      <c r="J14" s="72"/>
      <c r="K14" s="106">
        <f ca="1">+K9-SUM(K11:K13)</f>
        <v>7022.0568014010441</v>
      </c>
      <c r="L14" s="76"/>
      <c r="M14" s="106">
        <f ca="1">+M9-SUM(M11:M13)</f>
        <v>7022.0568014010441</v>
      </c>
      <c r="O14" s="49"/>
      <c r="P14" s="43"/>
      <c r="R14" s="7">
        <v>4</v>
      </c>
      <c r="S14" s="123">
        <f ca="1">IF((AI9/Investment*100)&gt;0,(AI9/Investment*100),0)</f>
        <v>641.86148946294168</v>
      </c>
      <c r="T14" s="8">
        <f ca="1">EXP(y_inter4-(slope*LN(S14)))</f>
        <v>3.570488535500449</v>
      </c>
      <c r="U14" s="4">
        <f ca="1">(+S14*T14/100)/100</f>
        <v>0.22917590895066756</v>
      </c>
      <c r="V14" s="4">
        <f>regDebt_weighted</f>
        <v>3.5860000000000003E-2</v>
      </c>
      <c r="W14" s="4">
        <f ca="1">+U14-V14</f>
        <v>0.19331590895066755</v>
      </c>
      <c r="X14" s="4">
        <f ca="1">+((W14*(1-0.34))-Pfd_weighted)/Equity_percent</f>
        <v>0.35290261601000167</v>
      </c>
      <c r="Y14" s="4">
        <f ca="1">+X14*equityP</f>
        <v>0.21174156960600099</v>
      </c>
      <c r="Z14" s="4">
        <f ca="1">+Y14/(1-taxrate)</f>
        <v>0.26802730329873542</v>
      </c>
      <c r="AA14" s="4">
        <f>debtP*Debt_Rate</f>
        <v>2.6000000000000002E-2</v>
      </c>
      <c r="AB14" s="4">
        <f ca="1">+AA14+Z14</f>
        <v>0.29402730329873544</v>
      </c>
      <c r="AC14" s="4">
        <f ca="1">+AB14/(S14/100)</f>
        <v>4.5808528494948958E-2</v>
      </c>
      <c r="AD14" s="4">
        <f ca="1">1-AC14</f>
        <v>0.95419147150505101</v>
      </c>
      <c r="AE14" s="124">
        <f ca="1">expenses/(AD14)</f>
        <v>212416.80517870179</v>
      </c>
      <c r="AF14" s="125">
        <f ca="1">+AE14-Revenue</f>
        <v>10454.405178701767</v>
      </c>
      <c r="AG14" s="126">
        <f ca="1">+AF14/$J$49</f>
        <v>11192.689865659619</v>
      </c>
      <c r="AH14" s="126">
        <f ca="1">+AG14*$J$47</f>
        <v>224.97306629975833</v>
      </c>
      <c r="AI14" s="124">
        <f t="shared" ca="1" si="7"/>
        <v>212641.77825</v>
      </c>
    </row>
    <row r="15" spans="1:35" ht="16.5" thickTop="1">
      <c r="A15" s="43"/>
      <c r="B15" s="687"/>
      <c r="C15" s="687"/>
      <c r="D15" s="43"/>
      <c r="E15" s="43"/>
      <c r="F15" s="142">
        <f t="shared" si="6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4" t="s">
        <v>126</v>
      </c>
      <c r="C16" s="688"/>
      <c r="D16" s="688"/>
      <c r="E16" s="43"/>
      <c r="F16" s="142">
        <f t="shared" si="6"/>
        <v>10</v>
      </c>
      <c r="G16" s="72"/>
      <c r="H16" s="184" t="s">
        <v>39</v>
      </c>
      <c r="I16" s="185">
        <f>+I8/I7</f>
        <v>1.0035843498882326</v>
      </c>
      <c r="J16" s="186"/>
      <c r="K16" s="185">
        <f ca="1">+K8/K7</f>
        <v>0.95408999999999999</v>
      </c>
      <c r="L16" s="187"/>
      <c r="M16" s="185">
        <f ca="1">+M8/M7</f>
        <v>0.95413867204227742</v>
      </c>
      <c r="O16" s="49"/>
      <c r="P16" s="43"/>
      <c r="R16" s="3">
        <v>1</v>
      </c>
      <c r="S16" s="117">
        <f ca="1">AI11/Investment*100</f>
        <v>640.68866410014061</v>
      </c>
      <c r="T16" s="118">
        <f ca="1">EXP(y_inter1-(slope*LN(+S16)))</f>
        <v>3.6853031666552205</v>
      </c>
      <c r="U16" s="119">
        <f ca="1">(+S16*T16/100)/100</f>
        <v>0.2361131962648351</v>
      </c>
      <c r="V16" s="119">
        <f>regDebt_weighted</f>
        <v>3.5860000000000003E-2</v>
      </c>
      <c r="W16" s="119">
        <f ca="1">+U16-V16</f>
        <v>0.20025319626483509</v>
      </c>
      <c r="X16" s="119">
        <f ca="1">+((W16*(1-0.34))-Pfd_weighted)/Equity_percent</f>
        <v>0.36621252771741614</v>
      </c>
      <c r="Y16" s="119">
        <f ca="1">+X16*equityP</f>
        <v>0.21972751663044968</v>
      </c>
      <c r="Z16" s="119">
        <f ca="1">+Y16/(1-taxrate)</f>
        <v>0.27813609700056918</v>
      </c>
      <c r="AA16" s="119">
        <f>debtP*Debt_Rate</f>
        <v>2.6000000000000002E-2</v>
      </c>
      <c r="AB16" s="119">
        <f ca="1">+AA16+Z16</f>
        <v>0.30413609700056921</v>
      </c>
      <c r="AC16" s="119">
        <f ca="1">+AB16/(S16/100)</f>
        <v>4.7470185449235959E-2</v>
      </c>
      <c r="AD16" s="119">
        <f ca="1">1-AC16</f>
        <v>0.95252981455076402</v>
      </c>
      <c r="AE16" s="120">
        <f ca="1">expenses/(AD16)</f>
        <v>212787.35931374386</v>
      </c>
      <c r="AF16" s="121">
        <f ca="1">+AE16-Revenue</f>
        <v>10824.959313743835</v>
      </c>
      <c r="AG16" s="122">
        <f ca="1">+AF16/$J$49</f>
        <v>11589.412342076843</v>
      </c>
      <c r="AH16" s="122">
        <f ca="1">+AG16*$J$47</f>
        <v>232.94718807574455</v>
      </c>
      <c r="AI16" s="120">
        <f ca="1">ROUND(+AH16+AE16,5)</f>
        <v>213020.30650000001</v>
      </c>
    </row>
    <row r="17" spans="1:35" ht="15.75">
      <c r="A17" s="43"/>
      <c r="B17" s="689"/>
      <c r="C17" s="688"/>
      <c r="D17" s="43" t="s">
        <v>102</v>
      </c>
      <c r="E17" s="43"/>
      <c r="F17" s="142">
        <f t="shared" si="6"/>
        <v>11</v>
      </c>
      <c r="G17" s="72"/>
      <c r="H17" s="188"/>
      <c r="I17" s="188"/>
      <c r="J17" s="173"/>
      <c r="K17" s="188"/>
      <c r="L17" s="184"/>
      <c r="M17" s="184"/>
      <c r="N17" s="83"/>
      <c r="O17" s="43"/>
      <c r="P17" s="43"/>
      <c r="R17" s="35">
        <v>2</v>
      </c>
      <c r="S17" s="123">
        <f ca="1">AI12/Investment*100</f>
        <v>640.16537062820294</v>
      </c>
      <c r="T17" s="34">
        <f ca="1">EXP(y_inter2-(slope*LN(+S17)))</f>
        <v>3.6348993450310418</v>
      </c>
      <c r="U17" s="4">
        <f ca="1">(+S17*T17/100)/100</f>
        <v>0.23269366864080088</v>
      </c>
      <c r="V17" s="4">
        <f>regDebt_weighted</f>
        <v>3.5860000000000003E-2</v>
      </c>
      <c r="W17" s="4">
        <f ca="1">+U17-V17</f>
        <v>0.19683366864080087</v>
      </c>
      <c r="X17" s="4">
        <f ca="1">+((W17*(1-0.34))-Pfd_weighted)/Equity_percent</f>
        <v>0.35965180611316444</v>
      </c>
      <c r="Y17" s="4">
        <f ca="1">+X17*equityP</f>
        <v>0.21579108366789865</v>
      </c>
      <c r="Z17" s="4">
        <f ca="1">+Y17/(1-taxrate)</f>
        <v>0.27315327046569449</v>
      </c>
      <c r="AA17" s="4">
        <f>debtP*Debt_Rate</f>
        <v>2.6000000000000002E-2</v>
      </c>
      <c r="AB17" s="4">
        <f ca="1">+AA17+Z17</f>
        <v>0.29915327046569451</v>
      </c>
      <c r="AC17" s="4">
        <f ca="1">+AB17/(S17/100)</f>
        <v>4.6730623709328629E-2</v>
      </c>
      <c r="AD17" s="4">
        <f ca="1">1-AC17</f>
        <v>0.95326937629067132</v>
      </c>
      <c r="AE17" s="124">
        <f ca="1">expenses/(AD17)</f>
        <v>212622.27545224741</v>
      </c>
      <c r="AF17" s="125">
        <f ca="1">+AE17-Revenue</f>
        <v>10659.87545224739</v>
      </c>
      <c r="AG17" s="126">
        <f ca="1">+AF17/$J$49</f>
        <v>11412.670343658845</v>
      </c>
      <c r="AH17" s="126">
        <f ca="1">+AG17*$J$47</f>
        <v>229.3946739075428</v>
      </c>
      <c r="AI17" s="124">
        <f t="shared" ref="AI17:AI19" ca="1" si="8">ROUND(+AH17+AE17,5)</f>
        <v>212851.67013000001</v>
      </c>
    </row>
    <row r="18" spans="1:35" ht="15.75">
      <c r="A18" s="43"/>
      <c r="B18" s="682" t="s">
        <v>127</v>
      </c>
      <c r="C18" s="682"/>
      <c r="D18" s="43"/>
      <c r="E18" s="43"/>
      <c r="F18" s="142">
        <f t="shared" si="6"/>
        <v>12</v>
      </c>
      <c r="G18" s="72"/>
      <c r="H18" s="189" t="s">
        <v>83</v>
      </c>
      <c r="I18" s="190"/>
      <c r="J18" s="190"/>
      <c r="K18" s="190"/>
      <c r="L18" s="190"/>
      <c r="M18" s="191"/>
      <c r="N18" s="173"/>
      <c r="O18" s="43"/>
      <c r="P18" s="43"/>
      <c r="R18" s="5">
        <v>3</v>
      </c>
      <c r="S18" s="123">
        <f ca="1">AI13/Investment*100</f>
        <v>639.81334313363266</v>
      </c>
      <c r="T18" s="6">
        <f ca="1">EXP(y_inter3-(slope*LN(S18)))</f>
        <v>3.6009131793839448</v>
      </c>
      <c r="U18" s="4">
        <f ca="1">(+S18*T18/100)/100</f>
        <v>0.23039122996355998</v>
      </c>
      <c r="V18" s="4">
        <f>regDebt_weighted</f>
        <v>3.5860000000000003E-2</v>
      </c>
      <c r="W18" s="4">
        <f ca="1">+U18-V18</f>
        <v>0.19453122996355998</v>
      </c>
      <c r="X18" s="4">
        <f ca="1">+((W18*(1-0.34))-Pfd_weighted)/Equity_percent</f>
        <v>0.35523433655799297</v>
      </c>
      <c r="Y18" s="4">
        <f ca="1">+X18*equityP</f>
        <v>0.21314060193479578</v>
      </c>
      <c r="Z18" s="4">
        <f ca="1">+Y18/(1-taxrate)</f>
        <v>0.26979823029720984</v>
      </c>
      <c r="AA18" s="4">
        <f>debtP*Debt_Rate</f>
        <v>2.6000000000000002E-2</v>
      </c>
      <c r="AB18" s="4">
        <f ca="1">+AA18+Z18</f>
        <v>0.29579823029720986</v>
      </c>
      <c r="AC18" s="4">
        <f ca="1">+AB18/(S18/100)</f>
        <v>4.623195709681048E-2</v>
      </c>
      <c r="AD18" s="4">
        <f ca="1">1-AC18</f>
        <v>0.95376804290318951</v>
      </c>
      <c r="AE18" s="124">
        <f ca="1">expenses/(AD18)</f>
        <v>212511.10834968553</v>
      </c>
      <c r="AF18" s="125">
        <f ca="1">+AE18-Revenue</f>
        <v>10548.708349685505</v>
      </c>
      <c r="AG18" s="126">
        <f ca="1">+AF18/$J$49</f>
        <v>11293.65267780694</v>
      </c>
      <c r="AH18" s="126">
        <f ca="1">+AG18*$J$47</f>
        <v>227.0024188239195</v>
      </c>
      <c r="AI18" s="124">
        <f t="shared" ca="1" si="8"/>
        <v>212738.11077</v>
      </c>
    </row>
    <row r="19" spans="1:35" ht="15.75">
      <c r="A19" s="43"/>
      <c r="B19" s="43"/>
      <c r="C19" s="43"/>
      <c r="D19" s="43"/>
      <c r="E19" s="43"/>
      <c r="F19" s="142">
        <f t="shared" si="6"/>
        <v>13</v>
      </c>
      <c r="G19" s="72"/>
      <c r="H19" s="192"/>
      <c r="I19" s="174" t="s">
        <v>124</v>
      </c>
      <c r="J19" s="175">
        <f>+Revenue</f>
        <v>201962.40000000002</v>
      </c>
      <c r="K19" s="176"/>
      <c r="L19" s="174" t="s">
        <v>136</v>
      </c>
      <c r="M19" s="193">
        <f ca="1">+J7</f>
        <v>10476.996603954758</v>
      </c>
      <c r="O19" s="43"/>
      <c r="P19" s="43"/>
      <c r="R19" s="7">
        <v>4</v>
      </c>
      <c r="S19" s="123">
        <f ca="1">AI14/Investment*100</f>
        <v>639.58836093599223</v>
      </c>
      <c r="T19" s="8">
        <f ca="1">EXP(y_inter4-(slope*LN(S19)))</f>
        <v>3.579159228099666</v>
      </c>
      <c r="U19" s="4">
        <f ca="1">(+S19*T19/100)/100</f>
        <v>0.22891885842291967</v>
      </c>
      <c r="V19" s="4">
        <f>regDebt_weighted</f>
        <v>3.5860000000000003E-2</v>
      </c>
      <c r="W19" s="4">
        <f ca="1">+U19-V19</f>
        <v>0.19305885842291967</v>
      </c>
      <c r="X19" s="4">
        <f ca="1">+((W19*(1-0.34))-Pfd_weighted)/Equity_percent</f>
        <v>0.35240943767188077</v>
      </c>
      <c r="Y19" s="4">
        <f ca="1">+X19*equityP</f>
        <v>0.21144566260312844</v>
      </c>
      <c r="Z19" s="4">
        <f ca="1">+Y19/(1-taxrate)</f>
        <v>0.26765273747231449</v>
      </c>
      <c r="AA19" s="4">
        <f>debtP*Debt_Rate</f>
        <v>2.6000000000000002E-2</v>
      </c>
      <c r="AB19" s="4">
        <f ca="1">+AA19+Z19</f>
        <v>0.29365273747231452</v>
      </c>
      <c r="AC19" s="4">
        <f ca="1">+AB19/(S19/100)</f>
        <v>4.5912770683096009E-2</v>
      </c>
      <c r="AD19" s="4">
        <f ca="1">1-AC19</f>
        <v>0.95408722931690404</v>
      </c>
      <c r="AE19" s="124">
        <f ca="1">expenses/(AD19)</f>
        <v>212440.01353103126</v>
      </c>
      <c r="AF19" s="125">
        <f ca="1">+AE19-Revenue</f>
        <v>10477.613531031238</v>
      </c>
      <c r="AG19" s="126">
        <f ca="1">+AF19/$J$49</f>
        <v>11217.537179827807</v>
      </c>
      <c r="AH19" s="126">
        <f ca="1">+AG19*$J$47</f>
        <v>225.47249731453891</v>
      </c>
      <c r="AI19" s="124">
        <f t="shared" ca="1" si="8"/>
        <v>212665.48603</v>
      </c>
    </row>
    <row r="20" spans="1:35" ht="15.75">
      <c r="A20" s="43"/>
      <c r="B20" s="115"/>
      <c r="C20" s="43"/>
      <c r="D20" s="43"/>
      <c r="E20" s="43"/>
      <c r="F20" s="142">
        <f t="shared" si="6"/>
        <v>14</v>
      </c>
      <c r="G20" s="72"/>
      <c r="H20" s="192"/>
      <c r="I20" s="174" t="s">
        <v>42</v>
      </c>
      <c r="J20" s="175">
        <f ca="1">+J21-J19</f>
        <v>10702.455825336918</v>
      </c>
      <c r="K20" s="176"/>
      <c r="L20" s="174" t="s">
        <v>41</v>
      </c>
      <c r="M20" s="193">
        <f ca="1">+L8</f>
        <v>225.45922138217247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6"/>
        <v>15</v>
      </c>
      <c r="G21" s="72"/>
      <c r="H21" s="192"/>
      <c r="I21" s="194" t="s">
        <v>83</v>
      </c>
      <c r="J21" s="195">
        <f ca="1">+M7</f>
        <v>212664.85582533694</v>
      </c>
      <c r="K21" s="177"/>
      <c r="L21" s="194" t="s">
        <v>42</v>
      </c>
      <c r="M21" s="196">
        <f ca="1">+M19+M20</f>
        <v>10702.455825336931</v>
      </c>
      <c r="O21" s="43"/>
      <c r="P21" s="43"/>
      <c r="R21" s="3">
        <v>1</v>
      </c>
      <c r="S21" s="117">
        <f ca="1">AI16/Investment*100</f>
        <v>640.72690607504217</v>
      </c>
      <c r="T21" s="118">
        <f ca="1">EXP(y_inter1-(slope*LN(+S21)))</f>
        <v>3.6851527862697404</v>
      </c>
      <c r="U21" s="119">
        <f ca="1">(+S21*T21/100)/100</f>
        <v>0.23611765431604317</v>
      </c>
      <c r="V21" s="119">
        <f>regDebt_weighted</f>
        <v>3.5860000000000003E-2</v>
      </c>
      <c r="W21" s="119">
        <f ca="1">+U21-V21</f>
        <v>0.20025765431604317</v>
      </c>
      <c r="X21" s="119">
        <f ca="1">+((W21*(1-0.34))-Pfd_weighted)/Equity_percent</f>
        <v>0.36622108095519912</v>
      </c>
      <c r="Y21" s="119">
        <f ca="1">+X21*equityP</f>
        <v>0.21973264857311947</v>
      </c>
      <c r="Z21" s="119">
        <f ca="1">+Y21/(1-taxrate)</f>
        <v>0.27814259313053097</v>
      </c>
      <c r="AA21" s="119">
        <f>debtP*Debt_Rate</f>
        <v>2.6000000000000002E-2</v>
      </c>
      <c r="AB21" s="119">
        <f ca="1">+AA21+Z21</f>
        <v>0.30414259313053099</v>
      </c>
      <c r="AC21" s="119">
        <f ca="1">+AB21/(S21/100)</f>
        <v>4.746836604594059E-2</v>
      </c>
      <c r="AD21" s="119">
        <f ca="1">1-AC21</f>
        <v>0.95253163395405938</v>
      </c>
      <c r="AE21" s="120">
        <f ca="1">expenses/(AD21)</f>
        <v>212786.95287472499</v>
      </c>
      <c r="AF21" s="121">
        <f ca="1">+AE21-Revenue</f>
        <v>10824.552874724963</v>
      </c>
      <c r="AG21" s="122">
        <f ca="1">+AF21/$J$49</f>
        <v>11588.977200544659</v>
      </c>
      <c r="AH21" s="122">
        <f ca="1">+AG21*$J$47</f>
        <v>232.93844173094766</v>
      </c>
      <c r="AI21" s="120">
        <f ca="1">ROUND(+AH21+AE21,5)</f>
        <v>213019.89132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6"/>
        <v>16</v>
      </c>
      <c r="G22" s="72"/>
      <c r="H22" s="197"/>
      <c r="I22" s="198"/>
      <c r="J22" s="198"/>
      <c r="K22" s="198"/>
      <c r="L22" s="198"/>
      <c r="M22" s="199"/>
      <c r="O22" s="43"/>
      <c r="P22" s="43"/>
      <c r="R22" s="35">
        <v>2</v>
      </c>
      <c r="S22" s="123">
        <f ca="1">AI17/Investment*100</f>
        <v>640.21967809580804</v>
      </c>
      <c r="T22" s="34">
        <f ca="1">EXP(y_inter2-(slope*LN(+S22)))</f>
        <v>3.63468854276632</v>
      </c>
      <c r="U22" s="4">
        <f ca="1">(+S22*T22/100)/100</f>
        <v>0.23269991288283748</v>
      </c>
      <c r="V22" s="4">
        <f>regDebt_weighted</f>
        <v>3.5860000000000003E-2</v>
      </c>
      <c r="W22" s="4">
        <f ca="1">+U22-V22</f>
        <v>0.19683991288283748</v>
      </c>
      <c r="X22" s="4">
        <f ca="1">+((W22*(1-0.34))-Pfd_weighted)/Equity_percent</f>
        <v>0.35966378634497886</v>
      </c>
      <c r="Y22" s="4">
        <f ca="1">+X22*equityP</f>
        <v>0.21579827180698732</v>
      </c>
      <c r="Z22" s="4">
        <f ca="1">+Y22/(1-taxrate)</f>
        <v>0.2731623693759333</v>
      </c>
      <c r="AA22" s="4">
        <f>debtP*Debt_Rate</f>
        <v>2.6000000000000002E-2</v>
      </c>
      <c r="AB22" s="4">
        <f ca="1">+AA22+Z22</f>
        <v>0.29916236937593332</v>
      </c>
      <c r="AC22" s="4">
        <f ca="1">+AB22/(S22/100)</f>
        <v>4.67280809402369E-2</v>
      </c>
      <c r="AD22" s="4">
        <f ca="1">1-AC22</f>
        <v>0.95327191905976305</v>
      </c>
      <c r="AE22" s="124">
        <f ca="1">expenses/(AD22)</f>
        <v>212621.70830100818</v>
      </c>
      <c r="AF22" s="125">
        <f ca="1">+AE22-Revenue</f>
        <v>10659.308301008161</v>
      </c>
      <c r="AG22" s="126">
        <f ca="1">+AF22/$J$49</f>
        <v>11412.063140492419</v>
      </c>
      <c r="AH22" s="126">
        <f ca="1">+AG22*$J$47</f>
        <v>229.38246912389761</v>
      </c>
      <c r="AI22" s="124">
        <f t="shared" ref="AI22:AI24" ca="1" si="9">ROUND(+AH22+AE22,5)</f>
        <v>212851.09077000001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6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639.87811189217166</v>
      </c>
      <c r="T23" s="6">
        <f ca="1">EXP(y_inter3-(slope*LN(S23)))</f>
        <v>3.6006639871837232</v>
      </c>
      <c r="U23" s="4">
        <f ca="1">(+S23*T23/100)/100</f>
        <v>0.23039860736772591</v>
      </c>
      <c r="V23" s="4">
        <f>regDebt_weighted</f>
        <v>3.5860000000000003E-2</v>
      </c>
      <c r="W23" s="4">
        <f ca="1">+U23-V23</f>
        <v>0.19453860736772591</v>
      </c>
      <c r="X23" s="4">
        <f ca="1">+((W23*(1-0.34))-Pfd_weighted)/Equity_percent</f>
        <v>0.3552484908799392</v>
      </c>
      <c r="Y23" s="4">
        <f ca="1">+X23*equityP</f>
        <v>0.21314909452796352</v>
      </c>
      <c r="Z23" s="4">
        <f ca="1">+Y23/(1-taxrate)</f>
        <v>0.26980898041514367</v>
      </c>
      <c r="AA23" s="4">
        <f>debtP*Debt_Rate</f>
        <v>2.6000000000000002E-2</v>
      </c>
      <c r="AB23" s="4">
        <f ca="1">+AA23+Z23</f>
        <v>0.2958089804151437</v>
      </c>
      <c r="AC23" s="4">
        <f ca="1">+AB23/(S23/100)</f>
        <v>4.6228957502611315E-2</v>
      </c>
      <c r="AD23" s="4">
        <f ca="1">1-AC23</f>
        <v>0.95377104249738864</v>
      </c>
      <c r="AE23" s="124">
        <f ca="1">expenses/(AD23)</f>
        <v>212510.44000575447</v>
      </c>
      <c r="AF23" s="125">
        <f ca="1">+AE23-Revenue</f>
        <v>10548.040005754447</v>
      </c>
      <c r="AG23" s="126">
        <f ca="1">+AF23/$J$49</f>
        <v>11292.937135773122</v>
      </c>
      <c r="AH23" s="126">
        <f ca="1">+AG23*$J$47</f>
        <v>226.98803642903974</v>
      </c>
      <c r="AI23" s="124">
        <f t="shared" ca="1" si="9"/>
        <v>212737.42804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6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639.65966968950443</v>
      </c>
      <c r="T24" s="8">
        <f ca="1">EXP(y_inter4-(slope*LN(S24)))</f>
        <v>3.5788864377038312</v>
      </c>
      <c r="U24" s="4">
        <f ca="1">(+S24*T24/100)/100</f>
        <v>0.22892693165978797</v>
      </c>
      <c r="V24" s="4">
        <f>regDebt_weighted</f>
        <v>3.5860000000000003E-2</v>
      </c>
      <c r="W24" s="4">
        <f ca="1">+U24-V24</f>
        <v>0.19306693165978797</v>
      </c>
      <c r="X24" s="4">
        <f ca="1">+((W24*(1-0.34))-Pfd_weighted)/Equity_percent</f>
        <v>0.35242492702168621</v>
      </c>
      <c r="Y24" s="4">
        <f ca="1">+X24*equityP</f>
        <v>0.21145495621301172</v>
      </c>
      <c r="Z24" s="4">
        <f ca="1">+Y24/(1-taxrate)</f>
        <v>0.26766450153545784</v>
      </c>
      <c r="AA24" s="4">
        <f>debtP*Debt_Rate</f>
        <v>2.6000000000000002E-2</v>
      </c>
      <c r="AB24" s="4">
        <f ca="1">+AA24+Z24</f>
        <v>0.29366450153545787</v>
      </c>
      <c r="AC24" s="4">
        <f ca="1">+AB24/(S24/100)</f>
        <v>4.5909491476616743E-2</v>
      </c>
      <c r="AD24" s="4">
        <f ca="1">1-AC24</f>
        <v>0.95409050852338328</v>
      </c>
      <c r="AE24" s="124">
        <f ca="1">expenses/(AD24)</f>
        <v>212439.28337528335</v>
      </c>
      <c r="AF24" s="125">
        <f ca="1">+AE24-Revenue</f>
        <v>10476.883375283331</v>
      </c>
      <c r="AG24" s="126">
        <f ca="1">+AF24/$J$49</f>
        <v>11216.7554608586</v>
      </c>
      <c r="AH24" s="126">
        <f ca="1">+AG24*$J$47</f>
        <v>225.45678476325784</v>
      </c>
      <c r="AI24" s="124">
        <f t="shared" ca="1" si="9"/>
        <v>212664.74015999999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6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6"/>
        <v>20</v>
      </c>
      <c r="H26" s="79" t="s">
        <v>27</v>
      </c>
      <c r="I26" s="88">
        <f>1-I27</f>
        <v>0.6</v>
      </c>
      <c r="J26" s="87">
        <f>+I26*J28</f>
        <v>19947.99698407399</v>
      </c>
      <c r="K26" s="83">
        <f ca="1">+K34</f>
        <v>0.35201814031791206</v>
      </c>
      <c r="L26" s="88">
        <f ca="1">+K26*I26</f>
        <v>0.21121088419074724</v>
      </c>
      <c r="M26" s="80">
        <f ca="1">+J26*K26</f>
        <v>7022.056801401045</v>
      </c>
      <c r="O26" s="43"/>
      <c r="P26" s="43"/>
      <c r="R26" s="3">
        <v>1</v>
      </c>
      <c r="S26" s="117">
        <f ca="1">AI21/Investment*100</f>
        <v>640.72565728800748</v>
      </c>
      <c r="T26" s="118">
        <f ca="1">EXP(y_inter1-(slope*LN(+S26)))</f>
        <v>3.6851576966842399</v>
      </c>
      <c r="U26" s="119">
        <f ca="1">(+S26*T26/100)/100</f>
        <v>0.23611750874179691</v>
      </c>
      <c r="V26" s="119">
        <f>regDebt_weighted</f>
        <v>3.5860000000000003E-2</v>
      </c>
      <c r="W26" s="119">
        <f ca="1">+U26-V26</f>
        <v>0.2002575087417969</v>
      </c>
      <c r="X26" s="119">
        <f ca="1">+((W26*(1-0.34))-Pfd_weighted)/Equity_percent</f>
        <v>0.36622080165577309</v>
      </c>
      <c r="Y26" s="119">
        <f ca="1">+X26*equityP</f>
        <v>0.21973248099346385</v>
      </c>
      <c r="Z26" s="119">
        <f ca="1">+Y26/(1-taxrate)</f>
        <v>0.2781423810043846</v>
      </c>
      <c r="AA26" s="119">
        <f>debtP*Debt_Rate</f>
        <v>2.6000000000000002E-2</v>
      </c>
      <c r="AB26" s="119">
        <f ca="1">+AA26+Z26</f>
        <v>0.30414238100438462</v>
      </c>
      <c r="AC26" s="119">
        <f ca="1">+AB26/(S26/100)</f>
        <v>4.7468425455556865E-2</v>
      </c>
      <c r="AD26" s="119">
        <f ca="1">1-AC26</f>
        <v>0.95253157454444315</v>
      </c>
      <c r="AE26" s="120">
        <f ca="1">expenses/(AD26)</f>
        <v>212786.96614629679</v>
      </c>
      <c r="AF26" s="121">
        <f ca="1">+AE26-Revenue</f>
        <v>10824.566146296769</v>
      </c>
      <c r="AG26" s="122">
        <f ca="1">+AF26/$J$49</f>
        <v>11588.991409348002</v>
      </c>
      <c r="AH26" s="122">
        <f ca="1">+AG26*$J$47</f>
        <v>232.93872732789484</v>
      </c>
      <c r="AI26" s="120">
        <f ca="1">ROUND(+AH26+AE26,5)</f>
        <v>213019.90487</v>
      </c>
    </row>
    <row r="27" spans="1:35" ht="15.75">
      <c r="A27" s="43"/>
      <c r="B27" s="43"/>
      <c r="C27" s="43"/>
      <c r="D27" s="43"/>
      <c r="E27" s="43"/>
      <c r="F27" s="142">
        <f t="shared" si="6"/>
        <v>21</v>
      </c>
      <c r="H27" s="79" t="s">
        <v>29</v>
      </c>
      <c r="I27" s="88">
        <f>IF(A65=TRUE,C8,0)</f>
        <v>0.4</v>
      </c>
      <c r="J27" s="90">
        <f>+I27*J28</f>
        <v>13298.664656049328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864.41320264320632</v>
      </c>
      <c r="O27" s="43"/>
      <c r="P27" s="43"/>
      <c r="R27" s="35">
        <v>2</v>
      </c>
      <c r="S27" s="123">
        <f ca="1">AI22/Investment*100</f>
        <v>640.21793548475659</v>
      </c>
      <c r="T27" s="34">
        <f ca="1">EXP(y_inter2-(slope*LN(+S27)))</f>
        <v>3.6346953064948031</v>
      </c>
      <c r="U27" s="4">
        <f ca="1">(+S27*T27/100)/100</f>
        <v>0.23269971252402374</v>
      </c>
      <c r="V27" s="4">
        <f>regDebt_weighted</f>
        <v>3.5860000000000003E-2</v>
      </c>
      <c r="W27" s="4">
        <f ca="1">+U27-V27</f>
        <v>0.19683971252402374</v>
      </c>
      <c r="X27" s="4">
        <f ca="1">+((W27*(1-0.34))-Pfd_weighted)/Equity_percent</f>
        <v>0.3596634019356269</v>
      </c>
      <c r="Y27" s="4">
        <f ca="1">+X27*equityP</f>
        <v>0.21579804116137613</v>
      </c>
      <c r="Z27" s="4">
        <f ca="1">+Y27/(1-taxrate)</f>
        <v>0.27316207741946347</v>
      </c>
      <c r="AA27" s="4">
        <f>debtP*Debt_Rate</f>
        <v>2.6000000000000002E-2</v>
      </c>
      <c r="AB27" s="4">
        <f ca="1">+AA27+Z27</f>
        <v>0.29916207741946349</v>
      </c>
      <c r="AC27" s="4">
        <f ca="1">+AB27/(S27/100)</f>
        <v>4.6728162526866047E-2</v>
      </c>
      <c r="AD27" s="4">
        <f ca="1">1-AC27</f>
        <v>0.95327183747313393</v>
      </c>
      <c r="AE27" s="124">
        <f ca="1">expenses/(AD27)</f>
        <v>212621.72649842864</v>
      </c>
      <c r="AF27" s="125">
        <f ca="1">+AE27-Revenue</f>
        <v>10659.326498428622</v>
      </c>
      <c r="AG27" s="126">
        <f ca="1">+AF27/$J$49</f>
        <v>11412.082623005301</v>
      </c>
      <c r="AH27" s="126">
        <f ca="1">+AG27*$J$47</f>
        <v>229.38286072240655</v>
      </c>
      <c r="AI27" s="124">
        <f t="shared" ref="AI27:AI29" ca="1" si="10">ROUND(+AH27+AE27,5)</f>
        <v>212851.10936</v>
      </c>
    </row>
    <row r="28" spans="1:35" ht="16.5" thickBot="1">
      <c r="A28" s="43"/>
      <c r="B28" s="43"/>
      <c r="C28" s="43"/>
      <c r="D28" s="43"/>
      <c r="E28" s="43"/>
      <c r="F28" s="142">
        <f t="shared" si="6"/>
        <v>22</v>
      </c>
      <c r="H28" s="79" t="s">
        <v>103</v>
      </c>
      <c r="I28" s="91">
        <f>SUM(I26:I27)</f>
        <v>1</v>
      </c>
      <c r="J28" s="136">
        <f>IF(A65=TRUE,C7,0)</f>
        <v>33246.661640123319</v>
      </c>
      <c r="K28" s="144"/>
      <c r="L28" s="143">
        <f ca="1">SUM(L26:L27)</f>
        <v>0.23721088419074723</v>
      </c>
      <c r="M28" s="136">
        <f ca="1">SUM(M26:M27)</f>
        <v>7886.4700040442513</v>
      </c>
      <c r="O28" s="43"/>
      <c r="P28" s="43"/>
      <c r="R28" s="5">
        <v>3</v>
      </c>
      <c r="S28" s="123">
        <f ca="1">AI23/Investment*100</f>
        <v>639.87605836268528</v>
      </c>
      <c r="T28" s="6">
        <f ca="1">EXP(y_inter3-(slope*LN(S28)))</f>
        <v>3.6006718873090318</v>
      </c>
      <c r="U28" s="4">
        <f ca="1">(+S28*T28/100)/100</f>
        <v>0.23039837347086339</v>
      </c>
      <c r="V28" s="4">
        <f>regDebt_weighted</f>
        <v>3.5860000000000003E-2</v>
      </c>
      <c r="W28" s="4">
        <f ca="1">+U28-V28</f>
        <v>0.19453837347086339</v>
      </c>
      <c r="X28" s="4">
        <f ca="1">+((W28*(1-0.34))-Pfd_weighted)/Equity_percent</f>
        <v>0.35524804212433087</v>
      </c>
      <c r="Y28" s="4">
        <f ca="1">+X28*equityP</f>
        <v>0.21314882527459852</v>
      </c>
      <c r="Z28" s="4">
        <f ca="1">+Y28/(1-taxrate)</f>
        <v>0.26980863958809936</v>
      </c>
      <c r="AA28" s="4">
        <f>debtP*Debt_Rate</f>
        <v>2.6000000000000002E-2</v>
      </c>
      <c r="AB28" s="4">
        <f ca="1">+AA28+Z28</f>
        <v>0.29580863958809939</v>
      </c>
      <c r="AC28" s="4">
        <f ca="1">+AB28/(S28/100)</f>
        <v>4.6229052598875858E-2</v>
      </c>
      <c r="AD28" s="4">
        <f ca="1">1-AC28</f>
        <v>0.95377094740112411</v>
      </c>
      <c r="AE28" s="124">
        <f ca="1">expenses/(AD28)</f>
        <v>212510.46119422649</v>
      </c>
      <c r="AF28" s="125">
        <f ca="1">+AE28-Revenue</f>
        <v>10548.061194226466</v>
      </c>
      <c r="AG28" s="126">
        <f ca="1">+AF28/$J$49</f>
        <v>11292.959820564078</v>
      </c>
      <c r="AH28" s="126">
        <f ca="1">+AG28*$J$47</f>
        <v>226.98849239333796</v>
      </c>
      <c r="AI28" s="124">
        <f t="shared" ca="1" si="10"/>
        <v>212737.44969000001</v>
      </c>
    </row>
    <row r="29" spans="1:35" ht="16.5" thickTop="1">
      <c r="A29" s="43"/>
      <c r="B29" s="43"/>
      <c r="C29" s="43"/>
      <c r="D29" s="43"/>
      <c r="E29" s="43"/>
      <c r="F29" s="142">
        <f t="shared" si="6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639.65742624621362</v>
      </c>
      <c r="T29" s="8">
        <f ca="1">EXP(y_inter4-(slope*LN(S29)))</f>
        <v>3.5788950191770201</v>
      </c>
      <c r="U29" s="4">
        <f ca="1">(+S29*T29/100)/100</f>
        <v>0.22892667767721658</v>
      </c>
      <c r="V29" s="4">
        <f>regDebt_weighted</f>
        <v>3.5860000000000003E-2</v>
      </c>
      <c r="W29" s="4">
        <f ca="1">+U29-V29</f>
        <v>0.19306667767721658</v>
      </c>
      <c r="X29" s="4">
        <f ca="1">+((W29*(1-0.34))-Pfd_weighted)/Equity_percent</f>
        <v>0.3524244397295434</v>
      </c>
      <c r="Y29" s="4">
        <f ca="1">+X29*equityP</f>
        <v>0.21145466383772604</v>
      </c>
      <c r="Z29" s="4">
        <f ca="1">+Y29/(1-taxrate)</f>
        <v>0.26766413144015955</v>
      </c>
      <c r="AA29" s="4">
        <f>debtP*Debt_Rate</f>
        <v>2.6000000000000002E-2</v>
      </c>
      <c r="AB29" s="4">
        <f ca="1">+AA29+Z29</f>
        <v>0.29366413144015957</v>
      </c>
      <c r="AC29" s="4">
        <f ca="1">+AB29/(S29/100)</f>
        <v>4.5909594634663695E-2</v>
      </c>
      <c r="AD29" s="4">
        <f ca="1">1-AC29</f>
        <v>0.95409040536533629</v>
      </c>
      <c r="AE29" s="124">
        <f ca="1">expenses/(AD29)</f>
        <v>212439.30634461777</v>
      </c>
      <c r="AF29" s="125">
        <f ca="1">+AE29-Revenue</f>
        <v>10476.906344617746</v>
      </c>
      <c r="AG29" s="126">
        <f ca="1">+AF29/$J$49</f>
        <v>11216.780052275533</v>
      </c>
      <c r="AH29" s="126">
        <f ca="1">+AG29*$J$47</f>
        <v>225.45727905073821</v>
      </c>
      <c r="AI29" s="124">
        <f t="shared" ca="1" si="10"/>
        <v>212664.76362000001</v>
      </c>
    </row>
    <row r="30" spans="1:35" ht="15.75">
      <c r="A30" s="43"/>
      <c r="B30" s="43"/>
      <c r="C30" s="43"/>
      <c r="D30" s="43"/>
      <c r="E30" s="43"/>
      <c r="F30" s="142">
        <f t="shared" si="6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6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640.72569804397915</v>
      </c>
      <c r="T31" s="118">
        <f ca="1">EXP(y_inter1-(slope*LN(+S31)))</f>
        <v>3.6851575364255069</v>
      </c>
      <c r="U31" s="119">
        <f ca="1">(+S31*T31/100)/100</f>
        <v>0.23611751349282634</v>
      </c>
      <c r="V31" s="119">
        <f>regDebt_weighted</f>
        <v>3.5860000000000003E-2</v>
      </c>
      <c r="W31" s="119">
        <f ca="1">+U31-V31</f>
        <v>0.20025751349282633</v>
      </c>
      <c r="X31" s="119">
        <f ca="1">+((W31*(1-0.34))-Pfd_weighted)/Equity_percent</f>
        <v>0.36622081077112029</v>
      </c>
      <c r="Y31" s="119">
        <f ca="1">+X31*equityP</f>
        <v>0.21973248646267216</v>
      </c>
      <c r="Z31" s="119">
        <f ca="1">+Y31/(1-taxrate)</f>
        <v>0.27814238792743312</v>
      </c>
      <c r="AA31" s="119">
        <f>debtP*Debt_Rate</f>
        <v>2.6000000000000002E-2</v>
      </c>
      <c r="AB31" s="119">
        <f ca="1">+AA31+Z31</f>
        <v>0.30414238792743314</v>
      </c>
      <c r="AC31" s="119">
        <f ca="1">+AB31/(S31/100)</f>
        <v>4.7468423516635182E-2</v>
      </c>
      <c r="AD31" s="119">
        <f ca="1">1-AC31</f>
        <v>0.95253157648336484</v>
      </c>
      <c r="AE31" s="120">
        <f ca="1">expenses/(AD31)</f>
        <v>212786.96571315918</v>
      </c>
      <c r="AF31" s="121">
        <f ca="1">+AE31-Revenue</f>
        <v>10824.565713159158</v>
      </c>
      <c r="AG31" s="122">
        <f ca="1">+AF31/$J$49</f>
        <v>11588.990945622438</v>
      </c>
      <c r="AH31" s="122">
        <f ca="1">+AG31*$J$47</f>
        <v>232.938718007011</v>
      </c>
      <c r="AI31" s="120">
        <f ca="1">ROUND(+AH31+AE31,5)</f>
        <v>213019.90443</v>
      </c>
    </row>
    <row r="32" spans="1:35" ht="15.75">
      <c r="A32" s="43"/>
      <c r="B32" s="43"/>
      <c r="C32" s="43"/>
      <c r="D32" s="43"/>
      <c r="E32" s="43"/>
      <c r="F32" s="142">
        <f t="shared" si="6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640.21799140014502</v>
      </c>
      <c r="T32" s="34">
        <f ca="1">EXP(y_inter2-(slope*LN(+S32)))</f>
        <v>3.6346950894656853</v>
      </c>
      <c r="U32" s="4">
        <f ca="1">(+S32*T32/100)/100</f>
        <v>0.23269971895296915</v>
      </c>
      <c r="V32" s="4">
        <f>regDebt_weighted</f>
        <v>3.5860000000000003E-2</v>
      </c>
      <c r="W32" s="4">
        <f ca="1">+U32-V32</f>
        <v>0.19683971895296914</v>
      </c>
      <c r="X32" s="4">
        <f ca="1">+((W32*(1-0.34))-Pfd_weighted)/Equity_percent</f>
        <v>0.35966341427023152</v>
      </c>
      <c r="Y32" s="4">
        <f ca="1">+X32*equityP</f>
        <v>0.21579804856213891</v>
      </c>
      <c r="Z32" s="4">
        <f ca="1">+Y32/(1-taxrate)</f>
        <v>0.27316208678751758</v>
      </c>
      <c r="AA32" s="4">
        <f>debtP*Debt_Rate</f>
        <v>2.6000000000000002E-2</v>
      </c>
      <c r="AB32" s="4">
        <f ca="1">+AA32+Z32</f>
        <v>0.2991620867875176</v>
      </c>
      <c r="AC32" s="4">
        <f ca="1">+AB32/(S32/100)</f>
        <v>4.6728159908979688E-2</v>
      </c>
      <c r="AD32" s="4">
        <f ca="1">1-AC32</f>
        <v>0.95327184009102028</v>
      </c>
      <c r="AE32" s="124">
        <f ca="1">expenses/(AD32)</f>
        <v>212621.72591452437</v>
      </c>
      <c r="AF32" s="125">
        <f ca="1">+AE32-Revenue</f>
        <v>10659.32591452435</v>
      </c>
      <c r="AG32" s="126">
        <f ca="1">+AF32/$J$49</f>
        <v>11412.081997866013</v>
      </c>
      <c r="AH32" s="126">
        <f ca="1">+AG32*$J$47</f>
        <v>229.38284815710685</v>
      </c>
      <c r="AI32" s="124">
        <f t="shared" ref="AI32:AI34" ca="1" si="11">ROUND(+AH32+AE32,5)</f>
        <v>212851.10876</v>
      </c>
    </row>
    <row r="33" spans="1:46" ht="15.75">
      <c r="A33" s="43"/>
      <c r="B33" s="43"/>
      <c r="C33" s="43"/>
      <c r="D33" s="43"/>
      <c r="E33" s="43"/>
      <c r="F33" s="142">
        <f t="shared" si="6"/>
        <v>27</v>
      </c>
      <c r="G33" s="72"/>
      <c r="H33" s="76" t="s">
        <v>54</v>
      </c>
      <c r="I33" s="76"/>
      <c r="J33" s="89">
        <f ca="1">+K9/J28</f>
        <v>0.29335554960854082</v>
      </c>
      <c r="K33" s="89">
        <f ca="1">+(M14+M11)/J28</f>
        <v>0.23721088419074721</v>
      </c>
      <c r="L33" s="72"/>
      <c r="M33" s="72"/>
      <c r="N33" s="72"/>
      <c r="O33" s="43"/>
      <c r="P33" s="43"/>
      <c r="R33" s="5">
        <v>3</v>
      </c>
      <c r="S33" s="123">
        <f ca="1">AI28/Investment*100</f>
        <v>639.87612348200548</v>
      </c>
      <c r="T33" s="6">
        <f ca="1">EXP(y_inter3-(slope*LN(S33)))</f>
        <v>3.6006716367880949</v>
      </c>
      <c r="U33" s="4">
        <f ca="1">(+S33*T33/100)/100</f>
        <v>0.23039838088795736</v>
      </c>
      <c r="V33" s="4">
        <f>regDebt_weighted</f>
        <v>3.5860000000000003E-2</v>
      </c>
      <c r="W33" s="4">
        <f ca="1">+U33-V33</f>
        <v>0.19453838088795736</v>
      </c>
      <c r="X33" s="4">
        <f ca="1">+((W33*(1-0.34))-Pfd_weighted)/Equity_percent</f>
        <v>0.35524805635480183</v>
      </c>
      <c r="Y33" s="4">
        <f ca="1">+X33*equityP</f>
        <v>0.21314883381288111</v>
      </c>
      <c r="Z33" s="4">
        <f ca="1">+Y33/(1-taxrate)</f>
        <v>0.26980865039605201</v>
      </c>
      <c r="AA33" s="4">
        <f>debtP*Debt_Rate</f>
        <v>2.6000000000000002E-2</v>
      </c>
      <c r="AB33" s="4">
        <f ca="1">+AA33+Z33</f>
        <v>0.29580865039605203</v>
      </c>
      <c r="AC33" s="4">
        <f ca="1">+AB33/(S33/100)</f>
        <v>4.6229049583277775E-2</v>
      </c>
      <c r="AD33" s="4">
        <f ca="1">1-AC33</f>
        <v>0.95377095041672222</v>
      </c>
      <c r="AE33" s="124">
        <f ca="1">expenses/(AD33)</f>
        <v>212510.46052231867</v>
      </c>
      <c r="AF33" s="125">
        <f ca="1">+AE33-Revenue</f>
        <v>10548.060522318643</v>
      </c>
      <c r="AG33" s="126">
        <f ca="1">+AF33/$J$49</f>
        <v>11292.959101206472</v>
      </c>
      <c r="AH33" s="126">
        <f ca="1">+AG33*$J$47</f>
        <v>226.98847793425008</v>
      </c>
      <c r="AI33" s="124">
        <f t="shared" ca="1" si="11"/>
        <v>212737.44899999999</v>
      </c>
    </row>
    <row r="34" spans="1:46" ht="15.75">
      <c r="A34" s="43"/>
      <c r="B34" s="43"/>
      <c r="C34" s="43"/>
      <c r="D34" s="43"/>
      <c r="E34" s="43"/>
      <c r="F34" s="142">
        <f t="shared" si="6"/>
        <v>28</v>
      </c>
      <c r="G34" s="72"/>
      <c r="H34" s="76" t="s">
        <v>55</v>
      </c>
      <c r="I34" s="76"/>
      <c r="J34" s="89">
        <f ca="1">+(M9-M11)/J26</f>
        <v>0.44559258268090129</v>
      </c>
      <c r="K34" s="89">
        <f ca="1">+M14/J26</f>
        <v>0.35201814031791206</v>
      </c>
      <c r="L34" s="72"/>
      <c r="M34" s="72"/>
      <c r="N34" s="72"/>
      <c r="O34" s="46"/>
      <c r="P34" s="43"/>
      <c r="R34" s="7">
        <v>4</v>
      </c>
      <c r="S34" s="123">
        <f ca="1">AI29/Investment*100</f>
        <v>639.65749680968929</v>
      </c>
      <c r="T34" s="8">
        <f ca="1">EXP(y_inter4-(slope*LN(S34)))</f>
        <v>3.5788947492614374</v>
      </c>
      <c r="U34" s="4">
        <f ca="1">(+S34*T34/100)/100</f>
        <v>0.22892668566579119</v>
      </c>
      <c r="V34" s="4">
        <f>regDebt_weighted</f>
        <v>3.5860000000000003E-2</v>
      </c>
      <c r="W34" s="4">
        <f ca="1">+U34-V34</f>
        <v>0.19306668566579119</v>
      </c>
      <c r="X34" s="4">
        <f ca="1">+((W34*(1-0.34))-Pfd_weighted)/Equity_percent</f>
        <v>0.35242445505645986</v>
      </c>
      <c r="Y34" s="4">
        <f ca="1">+X34*equityP</f>
        <v>0.21145467303387591</v>
      </c>
      <c r="Z34" s="4">
        <f ca="1">+Y34/(1-taxrate)</f>
        <v>0.26766414308085557</v>
      </c>
      <c r="AA34" s="4">
        <f>debtP*Debt_Rate</f>
        <v>2.6000000000000002E-2</v>
      </c>
      <c r="AB34" s="4">
        <f ca="1">+AA34+Z34</f>
        <v>0.29366414308085559</v>
      </c>
      <c r="AC34" s="4">
        <f ca="1">+AB34/(S34/100)</f>
        <v>4.5909591390003904E-2</v>
      </c>
      <c r="AD34" s="4">
        <f ca="1">1-AC34</f>
        <v>0.95409040860999605</v>
      </c>
      <c r="AE34" s="124">
        <f ca="1">expenses/(AD34)</f>
        <v>212439.30562215659</v>
      </c>
      <c r="AF34" s="125">
        <f ca="1">+AE34-Revenue</f>
        <v>10476.90562215657</v>
      </c>
      <c r="AG34" s="126">
        <f ca="1">+AF34/$J$49</f>
        <v>11216.779278794522</v>
      </c>
      <c r="AH34" s="126">
        <f ca="1">+AG34*$J$47</f>
        <v>225.45726350376989</v>
      </c>
      <c r="AI34" s="124">
        <f t="shared" ca="1" si="11"/>
        <v>212664.76289000001</v>
      </c>
    </row>
    <row r="35" spans="1:46" ht="15.75">
      <c r="A35" s="43"/>
      <c r="B35" s="43"/>
      <c r="C35" s="43"/>
      <c r="D35" s="43"/>
      <c r="E35" s="43"/>
      <c r="F35" s="142">
        <f t="shared" si="6"/>
        <v>29</v>
      </c>
      <c r="G35" s="72"/>
      <c r="H35" s="92" t="s">
        <v>31</v>
      </c>
      <c r="I35" s="76"/>
      <c r="J35" s="89">
        <f ca="1">+K8/K7</f>
        <v>0.95408999999999999</v>
      </c>
      <c r="K35" s="89">
        <f ca="1">+M8/M7</f>
        <v>0.95413867204227742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6"/>
        <v>30</v>
      </c>
      <c r="G36" s="72"/>
      <c r="H36" s="76" t="s">
        <v>56</v>
      </c>
      <c r="I36" s="76"/>
      <c r="J36" s="89">
        <f ca="1">+K9/K7</f>
        <v>4.5910000000000013E-2</v>
      </c>
      <c r="K36" s="89">
        <f ca="1">+J36</f>
        <v>4.5910000000000013E-2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640.72569672053805</v>
      </c>
      <c r="T36" s="118">
        <f ca="1">EXP(y_inter1-(slope*LN(+S36)))</f>
        <v>3.6851575416294775</v>
      </c>
      <c r="U36" s="119">
        <f ca="1">(+S36*T36/100)/100</f>
        <v>0.23611751333854922</v>
      </c>
      <c r="V36" s="119">
        <f>regDebt_weighted</f>
        <v>3.5860000000000003E-2</v>
      </c>
      <c r="W36" s="119">
        <f ca="1">+U36-V36</f>
        <v>0.20025751333854921</v>
      </c>
      <c r="X36" s="119">
        <f ca="1">+((W36*(1-0.34))-Pfd_weighted)/Equity_percent</f>
        <v>0.36622081047512345</v>
      </c>
      <c r="Y36" s="119">
        <f ca="1">+X36*equityP</f>
        <v>0.21973248628507405</v>
      </c>
      <c r="Z36" s="119">
        <f ca="1">+Y36/(1-taxrate)</f>
        <v>0.27814238770262539</v>
      </c>
      <c r="AA36" s="119">
        <f>debtP*Debt_Rate</f>
        <v>2.6000000000000002E-2</v>
      </c>
      <c r="AB36" s="119">
        <f ca="1">+AA36+Z36</f>
        <v>0.30414238770262542</v>
      </c>
      <c r="AC36" s="119">
        <f ca="1">+AB36/(S36/100)</f>
        <v>4.7468423579596429E-2</v>
      </c>
      <c r="AD36" s="119">
        <f ca="1">1-AC36</f>
        <v>0.95253157642040354</v>
      </c>
      <c r="AE36" s="120">
        <f ca="1">expenses/(AD36)</f>
        <v>212786.96572722416</v>
      </c>
      <c r="AF36" s="121">
        <f ca="1">+AE36-Revenue</f>
        <v>10824.565727224137</v>
      </c>
      <c r="AG36" s="122">
        <f ca="1">+AF36/$J$49</f>
        <v>11588.990960680678</v>
      </c>
      <c r="AH36" s="122">
        <f ca="1">+AG36*$J$47</f>
        <v>232.93871830968163</v>
      </c>
      <c r="AI36" s="120">
        <f ca="1">ROUND(+AH36+AE36,5)</f>
        <v>213019.90445</v>
      </c>
    </row>
    <row r="37" spans="1:46" ht="15.75">
      <c r="A37" s="43"/>
      <c r="B37" s="43"/>
      <c r="C37" s="43"/>
      <c r="D37" s="43"/>
      <c r="E37" s="43"/>
      <c r="F37" s="142">
        <f t="shared" si="6"/>
        <v>31</v>
      </c>
      <c r="G37" s="72"/>
      <c r="H37" s="76" t="s">
        <v>57</v>
      </c>
      <c r="I37" s="74"/>
      <c r="J37" s="93">
        <f ca="1">+S39/100</f>
        <v>6.3965749461398014</v>
      </c>
      <c r="K37" s="93">
        <f ca="1">+J37</f>
        <v>6.3965749461398014</v>
      </c>
      <c r="L37" s="72"/>
      <c r="M37" s="72"/>
      <c r="N37" s="72"/>
      <c r="O37" s="43"/>
      <c r="P37" s="43"/>
      <c r="R37" s="35">
        <v>2</v>
      </c>
      <c r="S37" s="123">
        <f ca="1">AI32/Investment*100</f>
        <v>640.21798959545254</v>
      </c>
      <c r="T37" s="34">
        <f ca="1">EXP(y_inter2-(slope*LN(+S37)))</f>
        <v>3.6346950964703879</v>
      </c>
      <c r="U37" s="4">
        <f ca="1">(+S37*T37/100)/100</f>
        <v>0.23269971874547213</v>
      </c>
      <c r="V37" s="4">
        <f>regDebt_weighted</f>
        <v>3.5860000000000003E-2</v>
      </c>
      <c r="W37" s="4">
        <f ca="1">+U37-V37</f>
        <v>0.19683971874547213</v>
      </c>
      <c r="X37" s="4">
        <f ca="1">+((W37*(1-0.34))-Pfd_weighted)/Equity_percent</f>
        <v>0.35966341387212675</v>
      </c>
      <c r="Y37" s="4">
        <f ca="1">+X37*equityP</f>
        <v>0.21579804832327604</v>
      </c>
      <c r="Z37" s="4">
        <f ca="1">+Y37/(1-taxrate)</f>
        <v>0.27316208648515955</v>
      </c>
      <c r="AA37" s="4">
        <f>debtP*Debt_Rate</f>
        <v>2.6000000000000002E-2</v>
      </c>
      <c r="AB37" s="4">
        <f ca="1">+AA37+Z37</f>
        <v>0.29916208648515957</v>
      </c>
      <c r="AC37" s="4">
        <f ca="1">+AB37/(S37/100)</f>
        <v>4.6728159993473031E-2</v>
      </c>
      <c r="AD37" s="4">
        <f ca="1">1-AC37</f>
        <v>0.95327184000652698</v>
      </c>
      <c r="AE37" s="124">
        <f ca="1">expenses/(AD37)</f>
        <v>212621.72593337009</v>
      </c>
      <c r="AF37" s="125">
        <f ca="1">+AE37-Revenue</f>
        <v>10659.32593337007</v>
      </c>
      <c r="AG37" s="126">
        <f ca="1">+AF37/$J$49</f>
        <v>11412.082018042607</v>
      </c>
      <c r="AH37" s="126">
        <f ca="1">+AG37*$J$47</f>
        <v>229.38284856265639</v>
      </c>
      <c r="AI37" s="124">
        <f t="shared" ref="AI37:AI39" ca="1" si="12">ROUND(+AH37+AE37,5)</f>
        <v>212851.10878000001</v>
      </c>
    </row>
    <row r="38" spans="1:46" ht="15.75">
      <c r="A38" s="43"/>
      <c r="B38" s="43"/>
      <c r="C38" s="43"/>
      <c r="D38" s="43"/>
      <c r="E38" s="43"/>
      <c r="F38" s="142">
        <f t="shared" si="6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639.87612140660906</v>
      </c>
      <c r="T38" s="6">
        <f ca="1">EXP(y_inter3-(slope*LN(S38)))</f>
        <v>3.6006716447723632</v>
      </c>
      <c r="U38" s="4">
        <f ca="1">(+S38*T38/100)/100</f>
        <v>0.23039838065156956</v>
      </c>
      <c r="V38" s="4">
        <f>regDebt_weighted</f>
        <v>3.5860000000000003E-2</v>
      </c>
      <c r="W38" s="4">
        <f ca="1">+U38-V38</f>
        <v>0.19453838065156956</v>
      </c>
      <c r="X38" s="4">
        <f ca="1">+((W38*(1-0.34))-Pfd_weighted)/Equity_percent</f>
        <v>0.35524805590126712</v>
      </c>
      <c r="Y38" s="4">
        <f ca="1">+X38*equityP</f>
        <v>0.21314883354076028</v>
      </c>
      <c r="Z38" s="4">
        <f ca="1">+Y38/(1-taxrate)</f>
        <v>0.26980865005159527</v>
      </c>
      <c r="AA38" s="4">
        <f>debtP*Debt_Rate</f>
        <v>2.6000000000000002E-2</v>
      </c>
      <c r="AB38" s="4">
        <f ca="1">+AA38+Z38</f>
        <v>0.29580865005159529</v>
      </c>
      <c r="AC38" s="4">
        <f ca="1">+AB38/(S38/100)</f>
        <v>4.6229049679386895E-2</v>
      </c>
      <c r="AD38" s="4">
        <f ca="1">1-AC38</f>
        <v>0.9537709503206131</v>
      </c>
      <c r="AE38" s="124">
        <f ca="1">expenses/(AD38)</f>
        <v>212510.46054373283</v>
      </c>
      <c r="AF38" s="125">
        <f ca="1">+AE38-Revenue</f>
        <v>10548.060543732805</v>
      </c>
      <c r="AG38" s="126">
        <f ca="1">+AF38/$J$49</f>
        <v>11292.959124132891</v>
      </c>
      <c r="AH38" s="126">
        <f ca="1">+AG38*$J$47</f>
        <v>226.9884783950711</v>
      </c>
      <c r="AI38" s="124">
        <f t="shared" ca="1" si="12"/>
        <v>212737.44902</v>
      </c>
    </row>
    <row r="39" spans="1:46" ht="15.75">
      <c r="A39" s="43"/>
      <c r="B39" s="43"/>
      <c r="C39" s="43"/>
      <c r="D39" s="43"/>
      <c r="E39" s="43"/>
      <c r="F39" s="142">
        <f t="shared" si="6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639.65749461398013</v>
      </c>
      <c r="T39" s="8">
        <f ca="1">EXP(y_inter4-(slope*LN(S39)))</f>
        <v>3.5788947576603434</v>
      </c>
      <c r="U39" s="4">
        <f ca="1">(+S39*T39/100)/100</f>
        <v>0.22892668541721228</v>
      </c>
      <c r="V39" s="4">
        <f>regDebt_weighted</f>
        <v>3.5860000000000003E-2</v>
      </c>
      <c r="W39" s="4">
        <f ca="1">+U39-V39</f>
        <v>0.19306668541721228</v>
      </c>
      <c r="X39" s="4">
        <f ca="1">+((W39*(1-0.34))-Pfd_weighted)/Equity_percent</f>
        <v>0.35242445457953514</v>
      </c>
      <c r="Y39" s="4">
        <f ca="1">+X39*equityP</f>
        <v>0.21145467274772109</v>
      </c>
      <c r="Z39" s="4">
        <f ca="1">+Y39/(1-taxrate)</f>
        <v>0.26766414271863426</v>
      </c>
      <c r="AA39" s="4">
        <f>debtP*Debt_Rate</f>
        <v>2.6000000000000002E-2</v>
      </c>
      <c r="AB39" s="4">
        <f ca="1">+AA39+Z39</f>
        <v>0.29366414271863428</v>
      </c>
      <c r="AC39" s="4">
        <f ca="1">+AB39/(S39/100)</f>
        <v>4.5909591490967273E-2</v>
      </c>
      <c r="AD39" s="4">
        <f ca="1">1-AC39</f>
        <v>0.95409040850903271</v>
      </c>
      <c r="AE39" s="124">
        <f ca="1">expenses/(AD39)</f>
        <v>212439.30564463726</v>
      </c>
      <c r="AF39" s="125">
        <f ca="1">+AE39-Revenue</f>
        <v>10476.905644637241</v>
      </c>
      <c r="AG39" s="126">
        <f ca="1">+AF39/$J$49</f>
        <v>11216.779302862768</v>
      </c>
      <c r="AH39" s="126">
        <f ca="1">+AG39*$J$47</f>
        <v>225.45726398754164</v>
      </c>
      <c r="AI39" s="124">
        <f t="shared" ca="1" si="12"/>
        <v>212664.76290999999</v>
      </c>
    </row>
    <row r="40" spans="1:46" ht="15.75">
      <c r="A40" s="43"/>
      <c r="B40" s="43"/>
      <c r="C40" s="43"/>
      <c r="D40" s="43"/>
      <c r="E40" s="43"/>
      <c r="F40" s="142">
        <f t="shared" si="6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6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6"/>
        <v>36</v>
      </c>
      <c r="G42" s="72"/>
      <c r="H42" s="72"/>
      <c r="I42" s="72"/>
      <c r="J42" s="108" t="s">
        <v>48</v>
      </c>
      <c r="K42" s="200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6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168.25315028520367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4.5909591490967273E-2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6"/>
        <v>38</v>
      </c>
      <c r="G44" s="72"/>
      <c r="H44" s="76" t="s">
        <v>63</v>
      </c>
      <c r="I44" s="75"/>
      <c r="J44" s="127">
        <f t="shared" ref="J44:J46" si="13">IF($A$65=TRUE,C12,0)</f>
        <v>5.1000000000000004E-3</v>
      </c>
      <c r="K44" s="128">
        <f ca="1">+J44*($J$7/$J$49)</f>
        <v>57.206071096969254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0.95408999999999999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6"/>
        <v>39</v>
      </c>
      <c r="G45" s="72"/>
      <c r="H45" s="76" t="s">
        <v>66</v>
      </c>
      <c r="I45" s="75"/>
      <c r="J45" s="127">
        <f t="shared" si="13"/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5.2992318497586233E-2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6"/>
        <v>40</v>
      </c>
      <c r="G46" s="72"/>
      <c r="H46" s="76" t="s">
        <v>69</v>
      </c>
      <c r="I46" s="75"/>
      <c r="J46" s="127">
        <f t="shared" si="13"/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6"/>
        <v>41</v>
      </c>
      <c r="G47" s="72"/>
      <c r="H47" s="76" t="s">
        <v>71</v>
      </c>
      <c r="I47" s="74"/>
      <c r="J47" s="137">
        <f>SUM(J43:J46)</f>
        <v>2.01E-2</v>
      </c>
      <c r="K47" s="136">
        <f ca="1">+K43+K44+K45+K46</f>
        <v>225.45922138217293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6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639.65749461398013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6"/>
        <v>43</v>
      </c>
      <c r="G49" s="178"/>
      <c r="H49" s="201" t="s">
        <v>73</v>
      </c>
      <c r="I49" s="100"/>
      <c r="J49" s="202">
        <f ca="1">((K35)-J47)</f>
        <v>0.93403867204227742</v>
      </c>
      <c r="K49" s="100"/>
      <c r="L49" s="100"/>
      <c r="M49" s="100"/>
      <c r="N49" s="100"/>
      <c r="O49" s="43"/>
      <c r="P49" s="43"/>
      <c r="R49" s="149">
        <f ca="1">VLOOKUP(S36,R43:S46,2)</f>
        <v>4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0.95408999999999999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Z68" ca="1" si="14">+J33</f>
        <v>0.29335554960854082</v>
      </c>
      <c r="Z63" s="20">
        <f ca="1">+K33</f>
        <v>0.23721088419074721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4"/>
        <v>0.44559258268090129</v>
      </c>
      <c r="Z64" s="20">
        <f t="shared" ca="1" si="14"/>
        <v>0.35201814031791206</v>
      </c>
      <c r="AC64" s="13"/>
      <c r="AD64" s="13"/>
      <c r="AE64" s="10"/>
      <c r="AF64" s="9"/>
      <c r="AH64" s="10"/>
    </row>
    <row r="65" spans="1:38">
      <c r="A65" s="567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4"/>
        <v>0.95408999999999999</v>
      </c>
      <c r="Z65" s="20">
        <f t="shared" ca="1" si="14"/>
        <v>0.95413867204227742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4"/>
        <v>4.5910000000000013E-2</v>
      </c>
      <c r="Z66" s="20">
        <f t="shared" ca="1" si="14"/>
        <v>4.5910000000000013E-2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4"/>
        <v>6.3965749461398014</v>
      </c>
      <c r="Z67" s="20">
        <f t="shared" ca="1" si="14"/>
        <v>6.3965749461398014</v>
      </c>
      <c r="AC67" s="13"/>
      <c r="AH67" s="10"/>
    </row>
    <row r="68" spans="1:38">
      <c r="O68" s="9"/>
      <c r="W68" s="25" t="s">
        <v>58</v>
      </c>
      <c r="X68" s="110"/>
      <c r="Y68" s="20">
        <f t="shared" si="14"/>
        <v>0.21</v>
      </c>
      <c r="Z68" s="20">
        <f t="shared" si="14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portrait" r:id="rId1"/>
  <headerFooter alignWithMargins="0"/>
  <legacyDrawing r:id="rId2"/>
  <controls>
    <control shapeId="44033" r:id="rId3" name="CheckBox1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AT113"/>
  <sheetViews>
    <sheetView showGridLines="0" showOutlineSymbols="0" topLeftCell="C7" zoomScale="120" zoomScaleNormal="120" workbookViewId="0">
      <selection activeCell="C7" sqref="C7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683" t="s">
        <v>106</v>
      </c>
      <c r="C2" s="683"/>
      <c r="D2" s="43"/>
      <c r="E2" s="43"/>
      <c r="F2" s="169" t="s">
        <v>112</v>
      </c>
      <c r="G2" s="98"/>
      <c r="H2" s="98"/>
      <c r="I2" s="99" t="s">
        <v>125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684" t="s">
        <v>92</v>
      </c>
      <c r="AG2" s="685"/>
      <c r="AH2" s="685"/>
      <c r="AI2" s="686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 ca="1">'Garbage Adj.'!M16</f>
        <v>462759.15212276485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 ca="1">'Garbage Adj.'!M67</f>
        <v>465532.03285015869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 ca="1">Revenue/Investment*100</f>
        <v>459.36843782376428</v>
      </c>
      <c r="T6" s="118">
        <f ca="1">EXP(y_inter1-(slope*LN(+S6)))</f>
        <v>4.6265140673796781</v>
      </c>
      <c r="U6" s="119">
        <f ca="1">(+S6*T6/100)/100</f>
        <v>0.21252745397018724</v>
      </c>
      <c r="V6" s="119">
        <f>regDebt_weighted</f>
        <v>3.5860000000000003E-2</v>
      </c>
      <c r="W6" s="119">
        <f ca="1">+U6-V6</f>
        <v>0.17666745397018724</v>
      </c>
      <c r="X6" s="119">
        <f ca="1">+((W6*(1-0.34))-Pfd_weighted)/Equity_percent</f>
        <v>0.32096081284977784</v>
      </c>
      <c r="Y6" s="119">
        <f ca="1">X6*equityP</f>
        <v>0.19257648770986671</v>
      </c>
      <c r="Z6" s="119">
        <f ca="1">+Y6/(1-taxrate)</f>
        <v>0.2437677059618566</v>
      </c>
      <c r="AA6" s="119">
        <f>debtP*Debt_Rate</f>
        <v>2.6000000000000002E-2</v>
      </c>
      <c r="AB6" s="119">
        <f ca="1">AA6+Z6</f>
        <v>0.26976770596185662</v>
      </c>
      <c r="AC6" s="119">
        <f ca="1">AB6/(S6/100)</f>
        <v>5.8725781692766717E-2</v>
      </c>
      <c r="AD6" s="119">
        <f ca="1">1-AC6</f>
        <v>0.94127421830723323</v>
      </c>
      <c r="AE6" s="120">
        <f ca="1">expenses/(AD6)</f>
        <v>494576.41970409133</v>
      </c>
      <c r="AF6" s="121">
        <f ca="1">+AE6-Revenue</f>
        <v>31817.26758132648</v>
      </c>
      <c r="AG6" s="122">
        <f ca="1">+AF6/$J$49</f>
        <v>34378.425691742021</v>
      </c>
      <c r="AH6" s="122">
        <f ca="1">+AG6*$J$47</f>
        <v>691.00635640401458</v>
      </c>
      <c r="AI6" s="120">
        <f ca="1">ROUND(+AH6+AE6,5)</f>
        <v>495267.42606000003</v>
      </c>
    </row>
    <row r="7" spans="1:35" ht="15.75">
      <c r="A7" s="43"/>
      <c r="B7" s="134" t="s">
        <v>104</v>
      </c>
      <c r="C7" s="130">
        <f>Assets!P45</f>
        <v>100738.12522145925</v>
      </c>
      <c r="D7" s="116"/>
      <c r="E7" s="43"/>
      <c r="F7" s="141">
        <v>1</v>
      </c>
      <c r="G7" s="76"/>
      <c r="H7" s="79" t="s">
        <v>32</v>
      </c>
      <c r="I7" s="80">
        <f ca="1">IF(A65=TRUE,C5,0)</f>
        <v>462759.15212276485</v>
      </c>
      <c r="J7" s="80">
        <f ca="1">(+$I8/($R51))-I7</f>
        <v>29591.20466142887</v>
      </c>
      <c r="K7" s="80">
        <f ca="1">+I7+J7</f>
        <v>492350.35678419372</v>
      </c>
      <c r="L7" s="80">
        <f ca="1">((+J7/J49*K35)-J7)</f>
        <v>642.66079613637703</v>
      </c>
      <c r="M7" s="80">
        <f ca="1">IFERROR(+K7+L7,0.00001)</f>
        <v>492993.01758033008</v>
      </c>
      <c r="O7" s="49"/>
      <c r="P7" s="43"/>
      <c r="R7" s="35">
        <v>2</v>
      </c>
      <c r="S7" s="123">
        <f ca="1">Revenue/Investment*100</f>
        <v>459.36843782376428</v>
      </c>
      <c r="T7" s="6">
        <f ca="1">EXP(y_inter1-(slope*LN(+S7)))</f>
        <v>4.6265140673796781</v>
      </c>
      <c r="U7" s="4">
        <f t="shared" ref="U7:U9" ca="1" si="0">(+S7*T7/100)/100</f>
        <v>0.21252745397018724</v>
      </c>
      <c r="V7" s="4">
        <f>regDebt_weighted</f>
        <v>3.5860000000000003E-2</v>
      </c>
      <c r="W7" s="4">
        <f t="shared" ref="W7:W9" ca="1" si="1">+U7-V7</f>
        <v>0.17666745397018724</v>
      </c>
      <c r="X7" s="4">
        <f ca="1">+((W7*(1-0.34))-Pfd_weighted)/Equity_percent</f>
        <v>0.32096081284977784</v>
      </c>
      <c r="Y7" s="4">
        <f ca="1">X7*equityP</f>
        <v>0.19257648770986671</v>
      </c>
      <c r="Z7" s="4">
        <f ca="1">+Y7/(1-taxrate)</f>
        <v>0.2437677059618566</v>
      </c>
      <c r="AA7" s="4">
        <f>debtP*Debt_Rate</f>
        <v>2.6000000000000002E-2</v>
      </c>
      <c r="AB7" s="4">
        <f t="shared" ref="AB7:AB9" ca="1" si="2">AA7+Z7</f>
        <v>0.26976770596185662</v>
      </c>
      <c r="AC7" s="4">
        <f t="shared" ref="AC7:AC9" ca="1" si="3">AB7/(S7/100)</f>
        <v>5.8725781692766717E-2</v>
      </c>
      <c r="AD7" s="4">
        <f t="shared" ref="AD7:AD9" ca="1" si="4">1-AC7</f>
        <v>0.94127421830723323</v>
      </c>
      <c r="AE7" s="124">
        <f ca="1">expenses/(AD7)</f>
        <v>494576.41970409133</v>
      </c>
      <c r="AF7" s="125">
        <f ca="1">+AE7-Revenue</f>
        <v>31817.26758132648</v>
      </c>
      <c r="AG7" s="126">
        <f ca="1">+AF7/$J$49</f>
        <v>34378.425691742021</v>
      </c>
      <c r="AH7" s="126">
        <f ca="1">+AG7*$J$47</f>
        <v>691.00635640401458</v>
      </c>
      <c r="AI7" s="124">
        <f t="shared" ref="AI7:AI9" ca="1" si="5">ROUND(+AH7+AE7,5)</f>
        <v>495267.42606000003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 ca="1">IF(A65=TRUE,C6,0)</f>
        <v>465532.03285015869</v>
      </c>
      <c r="J8" s="72"/>
      <c r="K8" s="80">
        <f ca="1">+I8</f>
        <v>465532.03285015869</v>
      </c>
      <c r="L8" s="80">
        <f ca="1">+L7</f>
        <v>642.66079613637703</v>
      </c>
      <c r="M8" s="80">
        <f ca="1">IFERROR(+K8+L8,0.00001)</f>
        <v>466174.69364629505</v>
      </c>
      <c r="O8" s="49"/>
      <c r="P8" s="43"/>
      <c r="R8" s="5">
        <v>3</v>
      </c>
      <c r="S8" s="123">
        <f ca="1">Revenue/Investment*100</f>
        <v>459.36843782376428</v>
      </c>
      <c r="T8" s="6">
        <f ca="1">EXP(y_inter1-(slope*LN(+S8)))</f>
        <v>4.6265140673796781</v>
      </c>
      <c r="U8" s="4">
        <f t="shared" ca="1" si="0"/>
        <v>0.21252745397018724</v>
      </c>
      <c r="V8" s="4">
        <f>regDebt_weighted</f>
        <v>3.5860000000000003E-2</v>
      </c>
      <c r="W8" s="4">
        <f t="shared" ca="1" si="1"/>
        <v>0.17666745397018724</v>
      </c>
      <c r="X8" s="4">
        <f ca="1">+((W8*(1-0.34))-Pfd_weighted)/Equity_percent</f>
        <v>0.32096081284977784</v>
      </c>
      <c r="Y8" s="4">
        <f ca="1">X8*equityP</f>
        <v>0.19257648770986671</v>
      </c>
      <c r="Z8" s="4">
        <f ca="1">+Y8/(1-taxrate)</f>
        <v>0.2437677059618566</v>
      </c>
      <c r="AA8" s="4">
        <f>debtP*Debt_Rate</f>
        <v>2.6000000000000002E-2</v>
      </c>
      <c r="AB8" s="4">
        <f t="shared" ca="1" si="2"/>
        <v>0.26976770596185662</v>
      </c>
      <c r="AC8" s="4">
        <f t="shared" ca="1" si="3"/>
        <v>5.8725781692766717E-2</v>
      </c>
      <c r="AD8" s="4">
        <f t="shared" ca="1" si="4"/>
        <v>0.94127421830723323</v>
      </c>
      <c r="AE8" s="124">
        <f ca="1">expenses/(AD8)</f>
        <v>494576.41970409133</v>
      </c>
      <c r="AF8" s="125">
        <f ca="1">+AE8-Revenue</f>
        <v>31817.26758132648</v>
      </c>
      <c r="AG8" s="126">
        <f ca="1">+AF8/$J$49</f>
        <v>34378.425691742021</v>
      </c>
      <c r="AH8" s="126">
        <f ca="1">+AG8*$J$47</f>
        <v>691.00635640401458</v>
      </c>
      <c r="AI8" s="124">
        <f t="shared" ca="1" si="5"/>
        <v>495267.42606000003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6">+F8+1</f>
        <v>3</v>
      </c>
      <c r="G9" s="76"/>
      <c r="H9" s="79" t="s">
        <v>34</v>
      </c>
      <c r="I9" s="81">
        <f ca="1">+I7-I8</f>
        <v>-2772.8807273938437</v>
      </c>
      <c r="J9" s="72"/>
      <c r="K9" s="81">
        <f ca="1">+K7-K8</f>
        <v>26818.323934035026</v>
      </c>
      <c r="L9" s="76"/>
      <c r="M9" s="82">
        <f ca="1">+M7-M8</f>
        <v>26818.323934035026</v>
      </c>
      <c r="O9" s="49"/>
      <c r="P9" s="43"/>
      <c r="R9" s="7">
        <v>4</v>
      </c>
      <c r="S9" s="123">
        <f ca="1">Revenue/Investment*100</f>
        <v>459.36843782376428</v>
      </c>
      <c r="T9" s="6">
        <f ca="1">EXP(y_inter1-(slope*LN(+S9)))</f>
        <v>4.6265140673796781</v>
      </c>
      <c r="U9" s="4">
        <f t="shared" ca="1" si="0"/>
        <v>0.21252745397018724</v>
      </c>
      <c r="V9" s="4">
        <f>regDebt_weighted</f>
        <v>3.5860000000000003E-2</v>
      </c>
      <c r="W9" s="4">
        <f t="shared" ca="1" si="1"/>
        <v>0.17666745397018724</v>
      </c>
      <c r="X9" s="4">
        <f ca="1">+((W9*(1-0.34))-Pfd_weighted)/Equity_percent</f>
        <v>0.32096081284977784</v>
      </c>
      <c r="Y9" s="4">
        <f ca="1">X9*equityP</f>
        <v>0.19257648770986671</v>
      </c>
      <c r="Z9" s="4">
        <f ca="1">+Y9/(1-taxrate)</f>
        <v>0.2437677059618566</v>
      </c>
      <c r="AA9" s="4">
        <f>debtP*Debt_Rate</f>
        <v>2.6000000000000002E-2</v>
      </c>
      <c r="AB9" s="4">
        <f t="shared" ca="1" si="2"/>
        <v>0.26976770596185662</v>
      </c>
      <c r="AC9" s="4">
        <f t="shared" ca="1" si="3"/>
        <v>5.8725781692766717E-2</v>
      </c>
      <c r="AD9" s="4">
        <f t="shared" ca="1" si="4"/>
        <v>0.94127421830723323</v>
      </c>
      <c r="AE9" s="124">
        <f ca="1">expenses/(AD9)</f>
        <v>494576.41970409133</v>
      </c>
      <c r="AF9" s="125">
        <f ca="1">+AE9-Revenue</f>
        <v>31817.26758132648</v>
      </c>
      <c r="AG9" s="126">
        <f ca="1">+AF9/$J$49</f>
        <v>34378.425691742021</v>
      </c>
      <c r="AH9" s="126">
        <f ca="1">+AG9*$J$47</f>
        <v>691.00635640401458</v>
      </c>
      <c r="AI9" s="124">
        <f t="shared" ca="1" si="5"/>
        <v>495267.42606000003</v>
      </c>
    </row>
    <row r="10" spans="1:35" ht="15.75">
      <c r="A10" s="43"/>
      <c r="B10" s="203" t="s">
        <v>98</v>
      </c>
      <c r="C10" s="131">
        <v>0.21</v>
      </c>
      <c r="D10" s="116"/>
      <c r="E10" s="43"/>
      <c r="F10" s="142">
        <f t="shared" si="6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1.4999999999999999E-2</v>
      </c>
      <c r="D11" s="116"/>
      <c r="E11" s="43"/>
      <c r="F11" s="142">
        <f t="shared" si="6"/>
        <v>5</v>
      </c>
      <c r="G11" s="76"/>
      <c r="H11" s="79" t="s">
        <v>35</v>
      </c>
      <c r="I11" s="80">
        <f>+K11</f>
        <v>2619.1912557579412</v>
      </c>
      <c r="J11" s="72"/>
      <c r="K11" s="80">
        <f>+M27</f>
        <v>2619.1912557579412</v>
      </c>
      <c r="L11" s="76"/>
      <c r="M11" s="80">
        <f>+K11</f>
        <v>2619.1912557579412</v>
      </c>
      <c r="O11" s="49"/>
      <c r="P11" s="43"/>
      <c r="R11" s="3">
        <v>1</v>
      </c>
      <c r="S11" s="117">
        <f ca="1">IF((AI6/Investment*100)&gt;0,(AI6/Investment*100),0)</f>
        <v>491.63851815905952</v>
      </c>
      <c r="T11" s="118">
        <f ca="1">EXP(y_inter1-(slope*LN(S11)))</f>
        <v>4.4166811631472207</v>
      </c>
      <c r="U11" s="119">
        <f ca="1">(+S11*T11/100)/100</f>
        <v>0.21714105822307311</v>
      </c>
      <c r="V11" s="119">
        <f>regDebt_weighted</f>
        <v>3.5860000000000003E-2</v>
      </c>
      <c r="W11" s="119">
        <f ca="1">+U11-V11</f>
        <v>0.18128105822307311</v>
      </c>
      <c r="X11" s="119">
        <f ca="1">+((W11*(1-0.34))-Pfd_weighted)/Equity_percent</f>
        <v>0.32981249542798907</v>
      </c>
      <c r="Y11" s="119">
        <f ca="1">+X11*equityP</f>
        <v>0.19788749725679344</v>
      </c>
      <c r="Z11" s="119">
        <f ca="1">+Y11/(1-taxrate)</f>
        <v>0.25049050285670055</v>
      </c>
      <c r="AA11" s="119">
        <f>debtP*Debt_Rate</f>
        <v>2.6000000000000002E-2</v>
      </c>
      <c r="AB11" s="119">
        <f ca="1">+AA11+Z11</f>
        <v>0.27649050285670057</v>
      </c>
      <c r="AC11" s="119">
        <f ca="1">+AB11/(S11/100)</f>
        <v>5.6238576239310806E-2</v>
      </c>
      <c r="AD11" s="119">
        <f ca="1">1-AC11</f>
        <v>0.94376142376068917</v>
      </c>
      <c r="AE11" s="120">
        <f ca="1">expenses/(AD11)</f>
        <v>493273.00430983101</v>
      </c>
      <c r="AF11" s="121">
        <f ca="1">+AE11-Revenue</f>
        <v>30513.852187066164</v>
      </c>
      <c r="AG11" s="122">
        <f ca="1">+AF11/$J$49</f>
        <v>32970.090762838525</v>
      </c>
      <c r="AH11" s="122">
        <f ca="1">+AG11*$J$47</f>
        <v>662.69882433305429</v>
      </c>
      <c r="AI11" s="120">
        <f ca="1">ROUND(+AH11+AE11,5)</f>
        <v>493935.70312999998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6"/>
        <v>6</v>
      </c>
      <c r="G12" s="76"/>
      <c r="H12" s="79" t="s">
        <v>37</v>
      </c>
      <c r="I12" s="80">
        <f ca="1">IF(I14&lt;0,0,+J38*I14)</f>
        <v>0</v>
      </c>
      <c r="J12" s="80">
        <f ca="1">+K12-I12</f>
        <v>5081.8178624381881</v>
      </c>
      <c r="K12" s="80">
        <f ca="1">+(K9-K11)*taxrate</f>
        <v>5081.8178624381881</v>
      </c>
      <c r="L12" s="76"/>
      <c r="M12" s="80">
        <f ca="1">+K12</f>
        <v>5081.8178624381881</v>
      </c>
      <c r="O12" s="49"/>
      <c r="P12" s="43"/>
      <c r="R12" s="35">
        <v>2</v>
      </c>
      <c r="S12" s="123">
        <f ca="1">IF((AI7/Investment*100)&gt;0,(AI7/Investment*100),0)</f>
        <v>491.63851815905952</v>
      </c>
      <c r="T12" s="34">
        <f ca="1">EXP(y_inter2-(slope*LN(+S12)))</f>
        <v>4.3538414440022466</v>
      </c>
      <c r="U12" s="4">
        <f ca="1">(+S12*T12/100)/100</f>
        <v>0.21405161558287644</v>
      </c>
      <c r="V12" s="4">
        <f>regDebt_weighted</f>
        <v>3.5860000000000003E-2</v>
      </c>
      <c r="W12" s="4">
        <f ca="1">+U12-V12</f>
        <v>0.17819161558287644</v>
      </c>
      <c r="X12" s="4">
        <f ca="1">+((W12*(1-0.34))-Pfd_weighted)/Equity_percent</f>
        <v>0.3238850764090071</v>
      </c>
      <c r="Y12" s="4">
        <f ca="1">+X12*equityP</f>
        <v>0.19433104584540425</v>
      </c>
      <c r="Z12" s="4">
        <f ca="1">+Y12/(1-taxrate)</f>
        <v>0.24598866562709398</v>
      </c>
      <c r="AA12" s="4">
        <f>debtP*Debt_Rate</f>
        <v>2.6000000000000002E-2</v>
      </c>
      <c r="AB12" s="4">
        <f ca="1">+AA12+Z12</f>
        <v>0.27198866562709401</v>
      </c>
      <c r="AC12" s="4">
        <f ca="1">+AB12/(S12/100)</f>
        <v>5.5322895904404645E-2</v>
      </c>
      <c r="AD12" s="4">
        <f ca="1">1-AC12</f>
        <v>0.94467710409559535</v>
      </c>
      <c r="AE12" s="124">
        <f ca="1">expenses/(AD12)</f>
        <v>492794.87227103347</v>
      </c>
      <c r="AF12" s="125">
        <f ca="1">+AE12-Revenue</f>
        <v>30035.720148268621</v>
      </c>
      <c r="AG12" s="126">
        <f ca="1">+AF12/$J$49</f>
        <v>32453.471077485989</v>
      </c>
      <c r="AH12" s="126">
        <f ca="1">+AG12*$J$47</f>
        <v>652.31476865746833</v>
      </c>
      <c r="AI12" s="124">
        <f t="shared" ref="AI12:AI14" ca="1" si="7">ROUND(+AH12+AE12,5)</f>
        <v>493447.18703999999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6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491.63851815905952</v>
      </c>
      <c r="T13" s="6">
        <f ca="1">EXP(y_inter3-(slope*LN(S13)))</f>
        <v>4.311511531426155</v>
      </c>
      <c r="U13" s="4">
        <f ca="1">(+S13*T13/100)/100</f>
        <v>0.21197051403360517</v>
      </c>
      <c r="V13" s="4">
        <f>regDebt_weighted</f>
        <v>3.5860000000000003E-2</v>
      </c>
      <c r="W13" s="4">
        <f ca="1">+U13-V13</f>
        <v>0.17611051403360517</v>
      </c>
      <c r="X13" s="4">
        <f ca="1">+((W13*(1-0.34))-Pfd_weighted)/Equity_percent</f>
        <v>0.31989226529703313</v>
      </c>
      <c r="Y13" s="4">
        <f ca="1">+X13*equityP</f>
        <v>0.19193535917821988</v>
      </c>
      <c r="Z13" s="4">
        <f ca="1">+Y13/(1-taxrate)</f>
        <v>0.24295615085850616</v>
      </c>
      <c r="AA13" s="4">
        <f>debtP*Debt_Rate</f>
        <v>2.6000000000000002E-2</v>
      </c>
      <c r="AB13" s="4">
        <f ca="1">+AA13+Z13</f>
        <v>0.26895615085850616</v>
      </c>
      <c r="AC13" s="4">
        <f ca="1">+AB13/(S13/100)</f>
        <v>5.4706077926036489E-2</v>
      </c>
      <c r="AD13" s="4">
        <f ca="1">1-AC13</f>
        <v>0.94529392207396357</v>
      </c>
      <c r="AE13" s="124">
        <f ca="1">expenses/(AD13)</f>
        <v>492473.31647789187</v>
      </c>
      <c r="AF13" s="125">
        <f ca="1">+AE13-Revenue</f>
        <v>29714.164355127024</v>
      </c>
      <c r="AG13" s="126">
        <f ca="1">+AF13/$J$49</f>
        <v>32106.031376323357</v>
      </c>
      <c r="AH13" s="126">
        <f ca="1">+AG13*$J$47</f>
        <v>645.33123066409951</v>
      </c>
      <c r="AI13" s="124">
        <f t="shared" ca="1" si="7"/>
        <v>493118.64770999999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6"/>
        <v>8</v>
      </c>
      <c r="G14" s="76"/>
      <c r="H14" s="76" t="s">
        <v>38</v>
      </c>
      <c r="I14" s="106">
        <f ca="1">+I9-SUM(I11:I13)</f>
        <v>-5392.0719831517854</v>
      </c>
      <c r="J14" s="72"/>
      <c r="K14" s="106">
        <f ca="1">+K9-SUM(K11:K13)</f>
        <v>19117.314815838898</v>
      </c>
      <c r="L14" s="76"/>
      <c r="M14" s="106">
        <f ca="1">+M9-SUM(M11:M13)</f>
        <v>19117.314815838898</v>
      </c>
      <c r="O14" s="49"/>
      <c r="P14" s="43"/>
      <c r="R14" s="7">
        <v>4</v>
      </c>
      <c r="S14" s="123">
        <f ca="1">IF((AI9/Investment*100)&gt;0,(AI9/Investment*100),0)</f>
        <v>491.63851815905952</v>
      </c>
      <c r="T14" s="8">
        <f ca="1">EXP(y_inter4-(slope*LN(S14)))</f>
        <v>4.2844343913270615</v>
      </c>
      <c r="U14" s="4">
        <f ca="1">(+S14*T14/100)/100</f>
        <v>0.21063929753017485</v>
      </c>
      <c r="V14" s="4">
        <f>regDebt_weighted</f>
        <v>3.5860000000000003E-2</v>
      </c>
      <c r="W14" s="4">
        <f ca="1">+U14-V14</f>
        <v>0.17477929753017485</v>
      </c>
      <c r="X14" s="4">
        <f ca="1">+((W14*(1-0.34))-Pfd_weighted)/Equity_percent</f>
        <v>0.31733818712184708</v>
      </c>
      <c r="Y14" s="4">
        <f ca="1">+X14*equityP</f>
        <v>0.19040291227310824</v>
      </c>
      <c r="Z14" s="4">
        <f ca="1">+Y14/(1-taxrate)</f>
        <v>0.24101634464950408</v>
      </c>
      <c r="AA14" s="4">
        <f>debtP*Debt_Rate</f>
        <v>2.6000000000000002E-2</v>
      </c>
      <c r="AB14" s="4">
        <f ca="1">+AA14+Z14</f>
        <v>0.26701634464950408</v>
      </c>
      <c r="AC14" s="4">
        <f ca="1">+AB14/(S14/100)</f>
        <v>5.4311518480965819E-2</v>
      </c>
      <c r="AD14" s="4">
        <f ca="1">1-AC14</f>
        <v>0.94568848151903417</v>
      </c>
      <c r="AE14" s="124">
        <f ca="1">expenses/(AD14)</f>
        <v>492267.84712698095</v>
      </c>
      <c r="AF14" s="125">
        <f ca="1">+AE14-Revenue</f>
        <v>29508.695004216104</v>
      </c>
      <c r="AG14" s="126">
        <f ca="1">+AF14/$J$49</f>
        <v>31884.022594640064</v>
      </c>
      <c r="AH14" s="126">
        <f ca="1">+AG14*$J$47</f>
        <v>640.86885415226527</v>
      </c>
      <c r="AI14" s="124">
        <f t="shared" ca="1" si="7"/>
        <v>492908.71597999998</v>
      </c>
    </row>
    <row r="15" spans="1:35" ht="16.5" thickTop="1">
      <c r="A15" s="43"/>
      <c r="B15" s="687"/>
      <c r="C15" s="687"/>
      <c r="D15" s="43"/>
      <c r="E15" s="43"/>
      <c r="F15" s="142">
        <f t="shared" si="6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4" t="s">
        <v>126</v>
      </c>
      <c r="C16" s="688"/>
      <c r="D16" s="688"/>
      <c r="E16" s="43"/>
      <c r="F16" s="142">
        <f t="shared" si="6"/>
        <v>10</v>
      </c>
      <c r="G16" s="72"/>
      <c r="H16" s="184" t="s">
        <v>39</v>
      </c>
      <c r="I16" s="185">
        <f ca="1">+I8/I7</f>
        <v>1.0059920602643386</v>
      </c>
      <c r="J16" s="186"/>
      <c r="K16" s="185">
        <f ca="1">+K8/K7</f>
        <v>0.94552999999999998</v>
      </c>
      <c r="L16" s="187"/>
      <c r="M16" s="185">
        <f ca="1">+M8/M7</f>
        <v>0.94560100655043222</v>
      </c>
      <c r="O16" s="49"/>
      <c r="P16" s="43"/>
      <c r="R16" s="3">
        <v>1</v>
      </c>
      <c r="S16" s="117">
        <f ca="1">AI11/Investment*100</f>
        <v>490.31655298741026</v>
      </c>
      <c r="T16" s="118">
        <f ca="1">EXP(y_inter1-(slope*LN(+S16)))</f>
        <v>4.4248188506971244</v>
      </c>
      <c r="U16" s="119">
        <f ca="1">(+S16*T16/100)/100</f>
        <v>0.21695619264675284</v>
      </c>
      <c r="V16" s="119">
        <f>regDebt_weighted</f>
        <v>3.5860000000000003E-2</v>
      </c>
      <c r="W16" s="119">
        <f ca="1">+U16-V16</f>
        <v>0.18109619264675283</v>
      </c>
      <c r="X16" s="119">
        <f ca="1">+((W16*(1-0.34))-Pfd_weighted)/Equity_percent</f>
        <v>0.32945781147342112</v>
      </c>
      <c r="Y16" s="119">
        <f ca="1">+X16*equityP</f>
        <v>0.19767468688405268</v>
      </c>
      <c r="Z16" s="119">
        <f ca="1">+Y16/(1-taxrate)</f>
        <v>0.25022112263804136</v>
      </c>
      <c r="AA16" s="119">
        <f>debtP*Debt_Rate</f>
        <v>2.6000000000000002E-2</v>
      </c>
      <c r="AB16" s="119">
        <f ca="1">+AA16+Z16</f>
        <v>0.27622112263804138</v>
      </c>
      <c r="AC16" s="119">
        <f ca="1">+AB16/(S16/100)</f>
        <v>5.6335263607780718E-2</v>
      </c>
      <c r="AD16" s="119">
        <f ca="1">1-AC16</f>
        <v>0.94366473639221926</v>
      </c>
      <c r="AE16" s="120">
        <f ca="1">expenses/(AD16)</f>
        <v>493323.54478981794</v>
      </c>
      <c r="AF16" s="121">
        <f ca="1">+AE16-Revenue</f>
        <v>30564.392667053093</v>
      </c>
      <c r="AG16" s="122">
        <f ca="1">+AF16/$J$49</f>
        <v>33024.699541898968</v>
      </c>
      <c r="AH16" s="122">
        <f ca="1">+AG16*$J$47</f>
        <v>663.79646079216923</v>
      </c>
      <c r="AI16" s="120">
        <f ca="1">ROUND(+AH16+AE16,5)</f>
        <v>493987.34125</v>
      </c>
    </row>
    <row r="17" spans="1:35" ht="15.75">
      <c r="A17" s="43"/>
      <c r="B17" s="689"/>
      <c r="C17" s="688"/>
      <c r="D17" s="43" t="s">
        <v>102</v>
      </c>
      <c r="E17" s="43"/>
      <c r="F17" s="142">
        <f t="shared" si="6"/>
        <v>11</v>
      </c>
      <c r="G17" s="72"/>
      <c r="H17" s="188"/>
      <c r="I17" s="188"/>
      <c r="J17" s="173"/>
      <c r="K17" s="188"/>
      <c r="L17" s="184"/>
      <c r="M17" s="184"/>
      <c r="N17" s="83"/>
      <c r="O17" s="43"/>
      <c r="P17" s="43"/>
      <c r="R17" s="35">
        <v>2</v>
      </c>
      <c r="S17" s="123">
        <f ca="1">AI12/Investment*100</f>
        <v>489.83161633713405</v>
      </c>
      <c r="T17" s="34">
        <f ca="1">EXP(y_inter2-(slope*LN(+S17)))</f>
        <v>4.3648151627264307</v>
      </c>
      <c r="U17" s="4">
        <f ca="1">(+S17*T17/100)/100</f>
        <v>0.21380244661711181</v>
      </c>
      <c r="V17" s="4">
        <f>regDebt_weighted</f>
        <v>3.5860000000000003E-2</v>
      </c>
      <c r="W17" s="4">
        <f ca="1">+U17-V17</f>
        <v>0.17794244661711181</v>
      </c>
      <c r="X17" s="4">
        <f ca="1">+((W17*(1-0.34))-Pfd_weighted)/Equity_percent</f>
        <v>0.32340701967236568</v>
      </c>
      <c r="Y17" s="4">
        <f ca="1">+X17*equityP</f>
        <v>0.19404421180341941</v>
      </c>
      <c r="Z17" s="4">
        <f ca="1">+Y17/(1-taxrate)</f>
        <v>0.24562558456129038</v>
      </c>
      <c r="AA17" s="4">
        <f>debtP*Debt_Rate</f>
        <v>2.6000000000000002E-2</v>
      </c>
      <c r="AB17" s="4">
        <f ca="1">+AA17+Z17</f>
        <v>0.27162558456129038</v>
      </c>
      <c r="AC17" s="4">
        <f ca="1">+AB17/(S17/100)</f>
        <v>5.5452848591614784E-2</v>
      </c>
      <c r="AD17" s="4">
        <f ca="1">1-AC17</f>
        <v>0.94454715140838519</v>
      </c>
      <c r="AE17" s="124">
        <f ca="1">expenses/(AD17)</f>
        <v>492862.67197568505</v>
      </c>
      <c r="AF17" s="125">
        <f ca="1">+AE17-Revenue</f>
        <v>30103.519852920203</v>
      </c>
      <c r="AG17" s="126">
        <f ca="1">+AF17/$J$49</f>
        <v>32526.728377231437</v>
      </c>
      <c r="AH17" s="126">
        <f ca="1">+AG17*$J$47</f>
        <v>653.78724038235191</v>
      </c>
      <c r="AI17" s="124">
        <f t="shared" ref="AI17:AI19" ca="1" si="8">ROUND(+AH17+AE17,5)</f>
        <v>493516.45922000002</v>
      </c>
    </row>
    <row r="18" spans="1:35" ht="15.75">
      <c r="A18" s="43"/>
      <c r="B18" s="682" t="s">
        <v>127</v>
      </c>
      <c r="C18" s="682"/>
      <c r="D18" s="43"/>
      <c r="E18" s="43"/>
      <c r="F18" s="142">
        <f t="shared" si="6"/>
        <v>12</v>
      </c>
      <c r="G18" s="72"/>
      <c r="H18" s="189" t="s">
        <v>83</v>
      </c>
      <c r="I18" s="190"/>
      <c r="J18" s="190"/>
      <c r="K18" s="190"/>
      <c r="L18" s="190"/>
      <c r="M18" s="191"/>
      <c r="N18" s="173"/>
      <c r="O18" s="43"/>
      <c r="P18" s="43"/>
      <c r="R18" s="5">
        <v>3</v>
      </c>
      <c r="S18" s="123">
        <f ca="1">AI13/Investment*100</f>
        <v>489.50548427017554</v>
      </c>
      <c r="T18" s="6">
        <f ca="1">EXP(y_inter3-(slope*LN(S18)))</f>
        <v>4.3243471681549179</v>
      </c>
      <c r="U18" s="4">
        <f ca="1">(+S18*T18/100)/100</f>
        <v>0.21167916547000357</v>
      </c>
      <c r="V18" s="4">
        <f>regDebt_weighted</f>
        <v>3.5860000000000003E-2</v>
      </c>
      <c r="W18" s="4">
        <f ca="1">+U18-V18</f>
        <v>0.17581916547000356</v>
      </c>
      <c r="X18" s="4">
        <f ca="1">+((W18*(1-0.34))-Pfd_weighted)/Equity_percent</f>
        <v>0.31933328258779753</v>
      </c>
      <c r="Y18" s="4">
        <f ca="1">+X18*equityP</f>
        <v>0.19159996955267852</v>
      </c>
      <c r="Z18" s="4">
        <f ca="1">+Y18/(1-taxrate)</f>
        <v>0.24253160702870699</v>
      </c>
      <c r="AA18" s="4">
        <f>debtP*Debt_Rate</f>
        <v>2.6000000000000002E-2</v>
      </c>
      <c r="AB18" s="4">
        <f ca="1">+AA18+Z18</f>
        <v>0.26853160702870699</v>
      </c>
      <c r="AC18" s="4">
        <f ca="1">+AB18/(S18/100)</f>
        <v>5.485773206996284E-2</v>
      </c>
      <c r="AD18" s="4">
        <f ca="1">1-AC18</f>
        <v>0.94514226793003719</v>
      </c>
      <c r="AE18" s="124">
        <f ca="1">expenses/(AD18)</f>
        <v>492552.33698279486</v>
      </c>
      <c r="AF18" s="125">
        <f ca="1">+AE18-Revenue</f>
        <v>29793.184860030015</v>
      </c>
      <c r="AG18" s="126">
        <f ca="1">+AF18/$J$49</f>
        <v>32191.412704213551</v>
      </c>
      <c r="AH18" s="126">
        <f ca="1">+AG18*$J$47</f>
        <v>647.04739535469241</v>
      </c>
      <c r="AI18" s="124">
        <f t="shared" ca="1" si="8"/>
        <v>493199.38438</v>
      </c>
    </row>
    <row r="19" spans="1:35" ht="15.75">
      <c r="A19" s="43"/>
      <c r="B19" s="43"/>
      <c r="C19" s="43"/>
      <c r="D19" s="43"/>
      <c r="E19" s="43"/>
      <c r="F19" s="142">
        <f t="shared" si="6"/>
        <v>13</v>
      </c>
      <c r="G19" s="72"/>
      <c r="H19" s="192"/>
      <c r="I19" s="174" t="s">
        <v>124</v>
      </c>
      <c r="J19" s="175">
        <f ca="1">+Revenue</f>
        <v>462759.15212276485</v>
      </c>
      <c r="K19" s="176"/>
      <c r="L19" s="174" t="s">
        <v>136</v>
      </c>
      <c r="M19" s="193">
        <f ca="1">+J7</f>
        <v>29591.20466142887</v>
      </c>
      <c r="O19" s="43"/>
      <c r="P19" s="43"/>
      <c r="R19" s="7">
        <v>4</v>
      </c>
      <c r="S19" s="123">
        <f ca="1">AI14/Investment*100</f>
        <v>489.29709074534225</v>
      </c>
      <c r="T19" s="8">
        <f ca="1">EXP(y_inter4-(slope*LN(S19)))</f>
        <v>4.2984405791893527</v>
      </c>
      <c r="U19" s="4">
        <f ca="1">(+S19*T19/100)/100</f>
        <v>0.21032144701390745</v>
      </c>
      <c r="V19" s="4">
        <f>regDebt_weighted</f>
        <v>3.5860000000000003E-2</v>
      </c>
      <c r="W19" s="4">
        <f ca="1">+U19-V19</f>
        <v>0.17446144701390745</v>
      </c>
      <c r="X19" s="4">
        <f ca="1">+((W19*(1-0.34))-Pfd_weighted)/Equity_percent</f>
        <v>0.31672835764296198</v>
      </c>
      <c r="Y19" s="4">
        <f ca="1">+X19*equityP</f>
        <v>0.19003701458577718</v>
      </c>
      <c r="Z19" s="4">
        <f ca="1">+Y19/(1-taxrate)</f>
        <v>0.24055318301997111</v>
      </c>
      <c r="AA19" s="4">
        <f>debtP*Debt_Rate</f>
        <v>2.6000000000000002E-2</v>
      </c>
      <c r="AB19" s="4">
        <f ca="1">+AA19+Z19</f>
        <v>0.26655318301997111</v>
      </c>
      <c r="AC19" s="4">
        <f ca="1">+AB19/(S19/100)</f>
        <v>5.447675615931679E-2</v>
      </c>
      <c r="AD19" s="4">
        <f ca="1">1-AC19</f>
        <v>0.9455232438406832</v>
      </c>
      <c r="AE19" s="124">
        <f ca="1">expenses/(AD19)</f>
        <v>492353.87483356142</v>
      </c>
      <c r="AF19" s="125">
        <f ca="1">+AE19-Revenue</f>
        <v>29594.722710796574</v>
      </c>
      <c r="AG19" s="126">
        <f ca="1">+AF19/$J$49</f>
        <v>31976.97517488751</v>
      </c>
      <c r="AH19" s="126">
        <f ca="1">+AG19*$J$47</f>
        <v>642.73720101523895</v>
      </c>
      <c r="AI19" s="124">
        <f t="shared" ca="1" si="8"/>
        <v>492996.61203000002</v>
      </c>
    </row>
    <row r="20" spans="1:35" ht="15.75">
      <c r="A20" s="43"/>
      <c r="B20" s="115"/>
      <c r="C20" s="43"/>
      <c r="D20" s="43"/>
      <c r="E20" s="43"/>
      <c r="F20" s="142">
        <f t="shared" si="6"/>
        <v>14</v>
      </c>
      <c r="G20" s="72"/>
      <c r="H20" s="192"/>
      <c r="I20" s="174" t="s">
        <v>42</v>
      </c>
      <c r="J20" s="175">
        <f ca="1">+J21-J19</f>
        <v>30233.865457565233</v>
      </c>
      <c r="K20" s="176"/>
      <c r="L20" s="174" t="s">
        <v>41</v>
      </c>
      <c r="M20" s="193">
        <f ca="1">+L8</f>
        <v>642.66079613637703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6"/>
        <v>15</v>
      </c>
      <c r="G21" s="72"/>
      <c r="H21" s="192"/>
      <c r="I21" s="194" t="s">
        <v>83</v>
      </c>
      <c r="J21" s="195">
        <f ca="1">+M7</f>
        <v>492993.01758033008</v>
      </c>
      <c r="K21" s="177"/>
      <c r="L21" s="194" t="s">
        <v>42</v>
      </c>
      <c r="M21" s="196">
        <f ca="1">+M19+M20</f>
        <v>30233.865457565247</v>
      </c>
      <c r="O21" s="43"/>
      <c r="P21" s="43"/>
      <c r="R21" s="3">
        <v>1</v>
      </c>
      <c r="S21" s="117">
        <f ca="1">AI16/Investment*100</f>
        <v>490.36781274620216</v>
      </c>
      <c r="T21" s="118">
        <f ca="1">EXP(y_inter1-(slope*LN(+S21)))</f>
        <v>4.4245026201627757</v>
      </c>
      <c r="U21" s="119">
        <f ca="1">(+S21*T21/100)/100</f>
        <v>0.21696336723390608</v>
      </c>
      <c r="V21" s="119">
        <f>regDebt_weighted</f>
        <v>3.5860000000000003E-2</v>
      </c>
      <c r="W21" s="119">
        <f ca="1">+U21-V21</f>
        <v>0.18110336723390608</v>
      </c>
      <c r="X21" s="119">
        <f ca="1">+((W21*(1-0.34))-Pfd_weighted)/Equity_percent</f>
        <v>0.3294715766697035</v>
      </c>
      <c r="Y21" s="119">
        <f ca="1">+X21*equityP</f>
        <v>0.1976829460018221</v>
      </c>
      <c r="Z21" s="119">
        <f ca="1">+Y21/(1-taxrate)</f>
        <v>0.25023157721749634</v>
      </c>
      <c r="AA21" s="119">
        <f>debtP*Debt_Rate</f>
        <v>2.6000000000000002E-2</v>
      </c>
      <c r="AB21" s="119">
        <f ca="1">+AA21+Z21</f>
        <v>0.27623157721749636</v>
      </c>
      <c r="AC21" s="119">
        <f ca="1">+AB21/(S21/100)</f>
        <v>5.633150668485342E-2</v>
      </c>
      <c r="AD21" s="119">
        <f ca="1">1-AC21</f>
        <v>0.94366849331514657</v>
      </c>
      <c r="AE21" s="120">
        <f ca="1">expenses/(AD21)</f>
        <v>493321.58077539003</v>
      </c>
      <c r="AF21" s="121">
        <f ca="1">+AE21-Revenue</f>
        <v>30562.428652625182</v>
      </c>
      <c r="AG21" s="122">
        <f ca="1">+AF21/$J$49</f>
        <v>33022.57743245337</v>
      </c>
      <c r="AH21" s="122">
        <f ca="1">+AG21*$J$47</f>
        <v>663.75380639231275</v>
      </c>
      <c r="AI21" s="120">
        <f ca="1">ROUND(+AH21+AE21,5)</f>
        <v>493985.33458000002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6"/>
        <v>16</v>
      </c>
      <c r="G22" s="72"/>
      <c r="H22" s="197"/>
      <c r="I22" s="198"/>
      <c r="J22" s="198"/>
      <c r="K22" s="198"/>
      <c r="L22" s="198"/>
      <c r="M22" s="199"/>
      <c r="O22" s="43"/>
      <c r="P22" s="43"/>
      <c r="R22" s="35">
        <v>2</v>
      </c>
      <c r="S22" s="123">
        <f ca="1">AI17/Investment*100</f>
        <v>489.90038094819647</v>
      </c>
      <c r="T22" s="34">
        <f ca="1">EXP(y_inter2-(slope*LN(+S22)))</f>
        <v>4.3643962927461084</v>
      </c>
      <c r="U22" s="4">
        <f ca="1">(+S22*T22/100)/100</f>
        <v>0.21381194064252149</v>
      </c>
      <c r="V22" s="4">
        <f>regDebt_weighted</f>
        <v>3.5860000000000003E-2</v>
      </c>
      <c r="W22" s="4">
        <f ca="1">+U22-V22</f>
        <v>0.17795194064252148</v>
      </c>
      <c r="X22" s="4">
        <f ca="1">+((W22*(1-0.34))-Pfd_weighted)/Equity_percent</f>
        <v>0.32342523495367492</v>
      </c>
      <c r="Y22" s="4">
        <f ca="1">+X22*equityP</f>
        <v>0.19405514097220494</v>
      </c>
      <c r="Z22" s="4">
        <f ca="1">+Y22/(1-taxrate)</f>
        <v>0.24563941895215816</v>
      </c>
      <c r="AA22" s="4">
        <f>debtP*Debt_Rate</f>
        <v>2.6000000000000002E-2</v>
      </c>
      <c r="AB22" s="4">
        <f ca="1">+AA22+Z22</f>
        <v>0.27163941895215815</v>
      </c>
      <c r="AC22" s="4">
        <f ca="1">+AB22/(S22/100)</f>
        <v>5.5447888900678796E-2</v>
      </c>
      <c r="AD22" s="4">
        <f ca="1">1-AC22</f>
        <v>0.94455211109932125</v>
      </c>
      <c r="AE22" s="124">
        <f ca="1">expenses/(AD22)</f>
        <v>492860.0840332114</v>
      </c>
      <c r="AF22" s="125">
        <f ca="1">+AE22-Revenue</f>
        <v>30100.931910446554</v>
      </c>
      <c r="AG22" s="126">
        <f ca="1">+AF22/$J$49</f>
        <v>32523.932116119529</v>
      </c>
      <c r="AH22" s="126">
        <f ca="1">+AG22*$J$47</f>
        <v>653.73103553400256</v>
      </c>
      <c r="AI22" s="124">
        <f t="shared" ref="AI22:AI24" ca="1" si="9">ROUND(+AH22+AE22,5)</f>
        <v>493513.81507000001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6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489.58562936898755</v>
      </c>
      <c r="T23" s="6">
        <f ca="1">EXP(y_inter3-(slope*LN(S23)))</f>
        <v>4.3238631890319663</v>
      </c>
      <c r="U23" s="4">
        <f ca="1">(+S23*T23/100)/100</f>
        <v>0.21169012807076129</v>
      </c>
      <c r="V23" s="4">
        <f>regDebt_weighted</f>
        <v>3.5860000000000003E-2</v>
      </c>
      <c r="W23" s="4">
        <f ca="1">+U23-V23</f>
        <v>0.17583012807076129</v>
      </c>
      <c r="X23" s="4">
        <f ca="1">+((W23*(1-0.34))-Pfd_weighted)/Equity_percent</f>
        <v>0.31935431548460014</v>
      </c>
      <c r="Y23" s="4">
        <f ca="1">+X23*equityP</f>
        <v>0.19161258929076008</v>
      </c>
      <c r="Z23" s="4">
        <f ca="1">+Y23/(1-taxrate)</f>
        <v>0.24254758138070895</v>
      </c>
      <c r="AA23" s="4">
        <f>debtP*Debt_Rate</f>
        <v>2.6000000000000002E-2</v>
      </c>
      <c r="AB23" s="4">
        <f ca="1">+AA23+Z23</f>
        <v>0.26854758138070894</v>
      </c>
      <c r="AC23" s="4">
        <f ca="1">+AB23/(S23/100)</f>
        <v>5.4852014697986951E-2</v>
      </c>
      <c r="AD23" s="4">
        <f ca="1">1-AC23</f>
        <v>0.94514798530201305</v>
      </c>
      <c r="AE23" s="124">
        <f ca="1">expenses/(AD23)</f>
        <v>492549.35744417034</v>
      </c>
      <c r="AF23" s="125">
        <f ca="1">+AE23-Revenue</f>
        <v>29790.20532140549</v>
      </c>
      <c r="AG23" s="126">
        <f ca="1">+AF23/$J$49</f>
        <v>32188.193325084372</v>
      </c>
      <c r="AH23" s="126">
        <f ca="1">+AG23*$J$47</f>
        <v>646.98268583419588</v>
      </c>
      <c r="AI23" s="124">
        <f t="shared" ca="1" si="9"/>
        <v>493196.34013000003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6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489.38434276617028</v>
      </c>
      <c r="T24" s="8">
        <f ca="1">EXP(y_inter4-(slope*LN(S24)))</f>
        <v>4.2979166228225907</v>
      </c>
      <c r="U24" s="4">
        <f ca="1">(+S24*T24/100)/100</f>
        <v>0.21033331017238313</v>
      </c>
      <c r="V24" s="4">
        <f>regDebt_weighted</f>
        <v>3.5860000000000003E-2</v>
      </c>
      <c r="W24" s="4">
        <f ca="1">+U24-V24</f>
        <v>0.17447331017238313</v>
      </c>
      <c r="X24" s="4">
        <f ca="1">+((W24*(1-0.34))-Pfd_weighted)/Equity_percent</f>
        <v>0.31675111835399089</v>
      </c>
      <c r="Y24" s="4">
        <f ca="1">+X24*equityP</f>
        <v>0.19005067101239453</v>
      </c>
      <c r="Z24" s="4">
        <f ca="1">+Y24/(1-taxrate)</f>
        <v>0.24057046963594245</v>
      </c>
      <c r="AA24" s="4">
        <f>debtP*Debt_Rate</f>
        <v>2.6000000000000002E-2</v>
      </c>
      <c r="AB24" s="4">
        <f ca="1">+AA24+Z24</f>
        <v>0.26657046963594244</v>
      </c>
      <c r="AC24" s="4">
        <f ca="1">+AB24/(S24/100)</f>
        <v>5.4470575852344098E-2</v>
      </c>
      <c r="AD24" s="4">
        <f ca="1">1-AC24</f>
        <v>0.94552942414765595</v>
      </c>
      <c r="AE24" s="124">
        <f ca="1">expenses/(AD24)</f>
        <v>492350.65663853969</v>
      </c>
      <c r="AF24" s="125">
        <f ca="1">+AE24-Revenue</f>
        <v>29591.504515774839</v>
      </c>
      <c r="AG24" s="126">
        <f ca="1">+AF24/$J$49</f>
        <v>31973.497928510729</v>
      </c>
      <c r="AH24" s="126">
        <f ca="1">+AG24*$J$47</f>
        <v>642.66730836306567</v>
      </c>
      <c r="AI24" s="124">
        <f t="shared" ca="1" si="9"/>
        <v>492993.32394999999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6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6"/>
        <v>20</v>
      </c>
      <c r="H26" s="79" t="s">
        <v>27</v>
      </c>
      <c r="I26" s="88">
        <f>1-I27</f>
        <v>0.6</v>
      </c>
      <c r="J26" s="87">
        <f>+I26*J28</f>
        <v>60442.875132875546</v>
      </c>
      <c r="K26" s="83">
        <f ca="1">+K34</f>
        <v>0.31628731713724817</v>
      </c>
      <c r="L26" s="88">
        <f ca="1">+K26*I26</f>
        <v>0.18977239028234891</v>
      </c>
      <c r="M26" s="80">
        <f ca="1">+J26*K26</f>
        <v>19117.314815838898</v>
      </c>
      <c r="O26" s="43"/>
      <c r="P26" s="43"/>
      <c r="R26" s="3">
        <v>1</v>
      </c>
      <c r="S26" s="117">
        <f ca="1">AI21/Investment*100</f>
        <v>490.36582077941154</v>
      </c>
      <c r="T26" s="118">
        <f ca="1">EXP(y_inter1-(slope*LN(+S26)))</f>
        <v>4.424514907919451</v>
      </c>
      <c r="U26" s="119">
        <f ca="1">(+S26*T26/100)/100</f>
        <v>0.21696308843726642</v>
      </c>
      <c r="V26" s="119">
        <f>regDebt_weighted</f>
        <v>3.5860000000000003E-2</v>
      </c>
      <c r="W26" s="119">
        <f ca="1">+U26-V26</f>
        <v>0.18110308843726641</v>
      </c>
      <c r="X26" s="119">
        <f ca="1">+((W26*(1-0.34))-Pfd_weighted)/Equity_percent</f>
        <v>0.32947104176917391</v>
      </c>
      <c r="Y26" s="119">
        <f ca="1">+X26*equityP</f>
        <v>0.19768262506150433</v>
      </c>
      <c r="Z26" s="119">
        <f ca="1">+Y26/(1-taxrate)</f>
        <v>0.25023117096392949</v>
      </c>
      <c r="AA26" s="119">
        <f>debtP*Debt_Rate</f>
        <v>2.6000000000000002E-2</v>
      </c>
      <c r="AB26" s="119">
        <f ca="1">+AA26+Z26</f>
        <v>0.27623117096392952</v>
      </c>
      <c r="AC26" s="119">
        <f ca="1">+AB26/(S26/100)</f>
        <v>5.6331652667976351E-2</v>
      </c>
      <c r="AD26" s="119">
        <f ca="1">1-AC26</f>
        <v>0.94366834733202365</v>
      </c>
      <c r="AE26" s="120">
        <f ca="1">expenses/(AD26)</f>
        <v>493321.65709099942</v>
      </c>
      <c r="AF26" s="121">
        <f ca="1">+AE26-Revenue</f>
        <v>30562.504968234571</v>
      </c>
      <c r="AG26" s="122">
        <f ca="1">+AF26/$J$49</f>
        <v>33022.659891152871</v>
      </c>
      <c r="AH26" s="122">
        <f ca="1">+AG26*$J$47</f>
        <v>663.75546381217271</v>
      </c>
      <c r="AI26" s="120">
        <f ca="1">ROUND(+AH26+AE26,5)</f>
        <v>493985.41255000001</v>
      </c>
    </row>
    <row r="27" spans="1:35" ht="15.75">
      <c r="A27" s="43"/>
      <c r="B27" s="43"/>
      <c r="C27" s="43"/>
      <c r="D27" s="43"/>
      <c r="E27" s="43"/>
      <c r="F27" s="142">
        <f t="shared" si="6"/>
        <v>21</v>
      </c>
      <c r="H27" s="79" t="s">
        <v>29</v>
      </c>
      <c r="I27" s="88">
        <f>IF(A65=TRUE,C8,0)</f>
        <v>0.4</v>
      </c>
      <c r="J27" s="90">
        <f>+I27*J28</f>
        <v>40295.250088583707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2619.1912557579412</v>
      </c>
      <c r="O27" s="43"/>
      <c r="P27" s="43"/>
      <c r="R27" s="35">
        <v>2</v>
      </c>
      <c r="S27" s="123">
        <f ca="1">AI22/Investment*100</f>
        <v>489.89775617232914</v>
      </c>
      <c r="T27" s="34">
        <f ca="1">EXP(y_inter2-(slope*LN(+S27)))</f>
        <v>4.3644122793828712</v>
      </c>
      <c r="U27" s="4">
        <f ca="1">(+S27*T27/100)/100</f>
        <v>0.21381157826806294</v>
      </c>
      <c r="V27" s="4">
        <f>regDebt_weighted</f>
        <v>3.5860000000000003E-2</v>
      </c>
      <c r="W27" s="4">
        <f ca="1">+U27-V27</f>
        <v>0.17795157826806293</v>
      </c>
      <c r="X27" s="4">
        <f ca="1">+((W27*(1-0.34))-Pfd_weighted)/Equity_percent</f>
        <v>0.32342453970035329</v>
      </c>
      <c r="Y27" s="4">
        <f ca="1">+X27*equityP</f>
        <v>0.19405472382021197</v>
      </c>
      <c r="Z27" s="4">
        <f ca="1">+Y27/(1-taxrate)</f>
        <v>0.24563889091166072</v>
      </c>
      <c r="AA27" s="4">
        <f>debtP*Debt_Rate</f>
        <v>2.6000000000000002E-2</v>
      </c>
      <c r="AB27" s="4">
        <f ca="1">+AA27+Z27</f>
        <v>0.27163889091166071</v>
      </c>
      <c r="AC27" s="4">
        <f ca="1">+AB27/(S27/100)</f>
        <v>5.5448078193709366E-2</v>
      </c>
      <c r="AD27" s="4">
        <f ca="1">1-AC27</f>
        <v>0.94455192180629066</v>
      </c>
      <c r="AE27" s="124">
        <f ca="1">expenses/(AD27)</f>
        <v>492860.18280489009</v>
      </c>
      <c r="AF27" s="125">
        <f ca="1">+AE27-Revenue</f>
        <v>30101.030682125245</v>
      </c>
      <c r="AG27" s="126">
        <f ca="1">+AF27/$J$49</f>
        <v>32524.038838508801</v>
      </c>
      <c r="AH27" s="126">
        <f ca="1">+AG27*$J$47</f>
        <v>653.73318065402691</v>
      </c>
      <c r="AI27" s="124">
        <f t="shared" ref="AI27:AI29" ca="1" si="10">ROUND(+AH27+AE27,5)</f>
        <v>493513.91599000001</v>
      </c>
    </row>
    <row r="28" spans="1:35" ht="16.5" thickBot="1">
      <c r="A28" s="43"/>
      <c r="B28" s="43"/>
      <c r="C28" s="43"/>
      <c r="D28" s="43"/>
      <c r="E28" s="43"/>
      <c r="F28" s="142">
        <f t="shared" si="6"/>
        <v>22</v>
      </c>
      <c r="H28" s="79" t="s">
        <v>103</v>
      </c>
      <c r="I28" s="91">
        <f>SUM(I26:I27)</f>
        <v>1</v>
      </c>
      <c r="J28" s="136">
        <f>IF(A65=TRUE,C7,0)</f>
        <v>100738.12522145925</v>
      </c>
      <c r="K28" s="144"/>
      <c r="L28" s="143">
        <f ca="1">SUM(L26:L27)</f>
        <v>0.2157723902823489</v>
      </c>
      <c r="M28" s="136">
        <f ca="1">SUM(M26:M27)</f>
        <v>21736.506071596839</v>
      </c>
      <c r="O28" s="43"/>
      <c r="P28" s="43"/>
      <c r="R28" s="5">
        <v>3</v>
      </c>
      <c r="S28" s="123">
        <f ca="1">AI23/Investment*100</f>
        <v>489.58260742472032</v>
      </c>
      <c r="T28" s="6">
        <f ca="1">EXP(y_inter3-(slope*LN(S28)))</f>
        <v>4.3238814354874853</v>
      </c>
      <c r="U28" s="4">
        <f ca="1">(+S28*T28/100)/100</f>
        <v>0.21168971473813059</v>
      </c>
      <c r="V28" s="4">
        <f>regDebt_weighted</f>
        <v>3.5860000000000003E-2</v>
      </c>
      <c r="W28" s="4">
        <f ca="1">+U28-V28</f>
        <v>0.17582971473813058</v>
      </c>
      <c r="X28" s="4">
        <f ca="1">+((W28*(1-0.34))-Pfd_weighted)/Equity_percent</f>
        <v>0.31935352246269239</v>
      </c>
      <c r="Y28" s="4">
        <f ca="1">+X28*equityP</f>
        <v>0.19161211347761542</v>
      </c>
      <c r="Z28" s="4">
        <f ca="1">+Y28/(1-taxrate)</f>
        <v>0.24254697908558912</v>
      </c>
      <c r="AA28" s="4">
        <f>debtP*Debt_Rate</f>
        <v>2.6000000000000002E-2</v>
      </c>
      <c r="AB28" s="4">
        <f ca="1">+AA28+Z28</f>
        <v>0.26854697908558911</v>
      </c>
      <c r="AC28" s="4">
        <f ca="1">+AB28/(S28/100)</f>
        <v>5.4852230249392932E-2</v>
      </c>
      <c r="AD28" s="4">
        <f ca="1">1-AC28</f>
        <v>0.9451477697506071</v>
      </c>
      <c r="AE28" s="124">
        <f ca="1">expenses/(AD28)</f>
        <v>492549.46977550082</v>
      </c>
      <c r="AF28" s="125">
        <f ca="1">+AE28-Revenue</f>
        <v>29790.317652735976</v>
      </c>
      <c r="AG28" s="126">
        <f ca="1">+AF28/$J$49</f>
        <v>32188.314698621183</v>
      </c>
      <c r="AH28" s="126">
        <f ca="1">+AG28*$J$47</f>
        <v>646.98512544228572</v>
      </c>
      <c r="AI28" s="124">
        <f t="shared" ca="1" si="10"/>
        <v>493196.45490000001</v>
      </c>
    </row>
    <row r="29" spans="1:35" ht="16.5" thickTop="1">
      <c r="A29" s="43"/>
      <c r="B29" s="43"/>
      <c r="C29" s="43"/>
      <c r="D29" s="43"/>
      <c r="E29" s="43"/>
      <c r="F29" s="142">
        <f t="shared" si="6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489.3810787784866</v>
      </c>
      <c r="T29" s="8">
        <f ca="1">EXP(y_inter4-(slope*LN(S29)))</f>
        <v>4.2979362205353731</v>
      </c>
      <c r="U29" s="4">
        <f ca="1">(+S29*T29/100)/100</f>
        <v>0.21033286641267324</v>
      </c>
      <c r="V29" s="4">
        <f>regDebt_weighted</f>
        <v>3.5860000000000003E-2</v>
      </c>
      <c r="W29" s="4">
        <f ca="1">+U29-V29</f>
        <v>0.17447286641267323</v>
      </c>
      <c r="X29" s="4">
        <f ca="1">+((W29*(1-0.34))-Pfd_weighted)/Equity_percent</f>
        <v>0.31675026695454744</v>
      </c>
      <c r="Y29" s="4">
        <f ca="1">+X29*equityP</f>
        <v>0.19005016017272847</v>
      </c>
      <c r="Z29" s="4">
        <f ca="1">+Y29/(1-taxrate)</f>
        <v>0.24056982300345375</v>
      </c>
      <c r="AA29" s="4">
        <f>debtP*Debt_Rate</f>
        <v>2.6000000000000002E-2</v>
      </c>
      <c r="AB29" s="4">
        <f ca="1">+AA29+Z29</f>
        <v>0.26656982300345378</v>
      </c>
      <c r="AC29" s="4">
        <f ca="1">+AB29/(S29/100)</f>
        <v>5.4470807017881033E-2</v>
      </c>
      <c r="AD29" s="4">
        <f ca="1">1-AC29</f>
        <v>0.94552919298211902</v>
      </c>
      <c r="AE29" s="124">
        <f ca="1">expenses/(AD29)</f>
        <v>492350.77700976114</v>
      </c>
      <c r="AF29" s="125">
        <f ca="1">+AE29-Revenue</f>
        <v>29591.624886996287</v>
      </c>
      <c r="AG29" s="126">
        <f ca="1">+AF29/$J$49</f>
        <v>31973.627989116387</v>
      </c>
      <c r="AH29" s="126">
        <f ca="1">+AG29*$J$47</f>
        <v>642.66992258123935</v>
      </c>
      <c r="AI29" s="124">
        <f t="shared" ca="1" si="10"/>
        <v>492993.44692999998</v>
      </c>
    </row>
    <row r="30" spans="1:35" ht="15.75">
      <c r="A30" s="43"/>
      <c r="B30" s="43"/>
      <c r="C30" s="43"/>
      <c r="D30" s="43"/>
      <c r="E30" s="43"/>
      <c r="F30" s="142">
        <f t="shared" si="6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6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490.36589817811216</v>
      </c>
      <c r="T31" s="118">
        <f ca="1">EXP(y_inter1-(slope*LN(+S31)))</f>
        <v>4.4245144304719748</v>
      </c>
      <c r="U31" s="119">
        <f ca="1">(+S31*T31/100)/100</f>
        <v>0.21696309927004079</v>
      </c>
      <c r="V31" s="119">
        <f>regDebt_weighted</f>
        <v>3.5860000000000003E-2</v>
      </c>
      <c r="W31" s="119">
        <f ca="1">+U31-V31</f>
        <v>0.18110309927004078</v>
      </c>
      <c r="X31" s="119">
        <f ca="1">+((W31*(1-0.34))-Pfd_weighted)/Equity_percent</f>
        <v>0.32947106255298519</v>
      </c>
      <c r="Y31" s="119">
        <f ca="1">+X31*equityP</f>
        <v>0.19768263753179111</v>
      </c>
      <c r="Z31" s="119">
        <f ca="1">+Y31/(1-taxrate)</f>
        <v>0.25023118674910266</v>
      </c>
      <c r="AA31" s="119">
        <f>debtP*Debt_Rate</f>
        <v>2.6000000000000002E-2</v>
      </c>
      <c r="AB31" s="119">
        <f ca="1">+AA31+Z31</f>
        <v>0.27623118674910269</v>
      </c>
      <c r="AC31" s="119">
        <f ca="1">+AB31/(S31/100)</f>
        <v>5.6331646995723426E-2</v>
      </c>
      <c r="AD31" s="119">
        <f ca="1">1-AC31</f>
        <v>0.94366835300427654</v>
      </c>
      <c r="AE31" s="120">
        <f ca="1">expenses/(AD31)</f>
        <v>493321.65412571485</v>
      </c>
      <c r="AF31" s="121">
        <f ca="1">+AE31-Revenue</f>
        <v>30562.502002950001</v>
      </c>
      <c r="AG31" s="122">
        <f ca="1">+AF31/$J$49</f>
        <v>33022.656687175193</v>
      </c>
      <c r="AH31" s="122">
        <f ca="1">+AG31*$J$47</f>
        <v>663.75539941222132</v>
      </c>
      <c r="AI31" s="120">
        <f ca="1">ROUND(+AH31+AE31,5)</f>
        <v>493985.40953</v>
      </c>
    </row>
    <row r="32" spans="1:35" ht="15.75">
      <c r="A32" s="43"/>
      <c r="B32" s="43"/>
      <c r="C32" s="43"/>
      <c r="D32" s="43"/>
      <c r="E32" s="43"/>
      <c r="F32" s="142">
        <f t="shared" si="6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489.8978563528712</v>
      </c>
      <c r="T32" s="34">
        <f ca="1">EXP(y_inter2-(slope*LN(+S32)))</f>
        <v>4.3644116692138653</v>
      </c>
      <c r="U32" s="4">
        <f ca="1">(+S32*T32/100)/100</f>
        <v>0.21381159209893291</v>
      </c>
      <c r="V32" s="4">
        <f>regDebt_weighted</f>
        <v>3.5860000000000003E-2</v>
      </c>
      <c r="W32" s="4">
        <f ca="1">+U32-V32</f>
        <v>0.17795159209893291</v>
      </c>
      <c r="X32" s="4">
        <f ca="1">+((W32*(1-0.34))-Pfd_weighted)/Equity_percent</f>
        <v>0.32342456623632476</v>
      </c>
      <c r="Y32" s="4">
        <f ca="1">+X32*equityP</f>
        <v>0.19405473974179485</v>
      </c>
      <c r="Z32" s="4">
        <f ca="1">+Y32/(1-taxrate)</f>
        <v>0.2456389110655631</v>
      </c>
      <c r="AA32" s="4">
        <f>debtP*Debt_Rate</f>
        <v>2.6000000000000002E-2</v>
      </c>
      <c r="AB32" s="4">
        <f ca="1">+AA32+Z32</f>
        <v>0.27163891106556309</v>
      </c>
      <c r="AC32" s="4">
        <f ca="1">+AB32/(S32/100)</f>
        <v>5.5448070968880256E-2</v>
      </c>
      <c r="AD32" s="4">
        <f ca="1">1-AC32</f>
        <v>0.94455192903111973</v>
      </c>
      <c r="AE32" s="124">
        <f ca="1">expenses/(AD32)</f>
        <v>492860.17903502798</v>
      </c>
      <c r="AF32" s="125">
        <f ca="1">+AE32-Revenue</f>
        <v>30101.026912263129</v>
      </c>
      <c r="AG32" s="126">
        <f ca="1">+AF32/$J$49</f>
        <v>32524.034765188415</v>
      </c>
      <c r="AH32" s="126">
        <f ca="1">+AG32*$J$47</f>
        <v>653.73309878028715</v>
      </c>
      <c r="AI32" s="124">
        <f t="shared" ref="AI32:AI34" ca="1" si="11">ROUND(+AH32+AE32,5)</f>
        <v>493513.91213000001</v>
      </c>
    </row>
    <row r="33" spans="1:46" ht="15.75">
      <c r="A33" s="43"/>
      <c r="B33" s="43"/>
      <c r="C33" s="43"/>
      <c r="D33" s="43"/>
      <c r="E33" s="43"/>
      <c r="F33" s="142">
        <f t="shared" si="6"/>
        <v>27</v>
      </c>
      <c r="G33" s="72"/>
      <c r="H33" s="76" t="s">
        <v>54</v>
      </c>
      <c r="I33" s="76"/>
      <c r="J33" s="89">
        <f ca="1">+K9/J28</f>
        <v>0.26621821554727704</v>
      </c>
      <c r="K33" s="89">
        <f ca="1">+(M14+M11)/J28</f>
        <v>0.21577239028234887</v>
      </c>
      <c r="L33" s="72"/>
      <c r="M33" s="72"/>
      <c r="N33" s="72"/>
      <c r="O33" s="43"/>
      <c r="P33" s="43"/>
      <c r="R33" s="5">
        <v>3</v>
      </c>
      <c r="S33" s="123">
        <f ca="1">AI28/Investment*100</f>
        <v>489.58272135378121</v>
      </c>
      <c r="T33" s="6">
        <f ca="1">EXP(y_inter3-(slope*LN(S33)))</f>
        <v>4.32388074758203</v>
      </c>
      <c r="U33" s="4">
        <f ca="1">(+S33*T33/100)/100</f>
        <v>0.21168973032104321</v>
      </c>
      <c r="V33" s="4">
        <f>regDebt_weighted</f>
        <v>3.5860000000000003E-2</v>
      </c>
      <c r="W33" s="4">
        <f ca="1">+U33-V33</f>
        <v>0.17582973032104321</v>
      </c>
      <c r="X33" s="4">
        <f ca="1">+((W33*(1-0.34))-Pfd_weighted)/Equity_percent</f>
        <v>0.31935355236014101</v>
      </c>
      <c r="Y33" s="4">
        <f ca="1">+X33*equityP</f>
        <v>0.1916121314160846</v>
      </c>
      <c r="Z33" s="4">
        <f ca="1">+Y33/(1-taxrate)</f>
        <v>0.24254700179251215</v>
      </c>
      <c r="AA33" s="4">
        <f>debtP*Debt_Rate</f>
        <v>2.6000000000000002E-2</v>
      </c>
      <c r="AB33" s="4">
        <f ca="1">+AA33+Z33</f>
        <v>0.26854700179251217</v>
      </c>
      <c r="AC33" s="4">
        <f ca="1">+AB33/(S33/100)</f>
        <v>5.4852222122940351E-2</v>
      </c>
      <c r="AD33" s="4">
        <f ca="1">1-AC33</f>
        <v>0.94514777787705961</v>
      </c>
      <c r="AE33" s="124">
        <f ca="1">expenses/(AD33)</f>
        <v>492549.46554052306</v>
      </c>
      <c r="AF33" s="125">
        <f ca="1">+AE33-Revenue</f>
        <v>29790.313417758211</v>
      </c>
      <c r="AG33" s="126">
        <f ca="1">+AF33/$J$49</f>
        <v>32188.310122745268</v>
      </c>
      <c r="AH33" s="126">
        <f ca="1">+AG33*$J$47</f>
        <v>646.98503346717985</v>
      </c>
      <c r="AI33" s="124">
        <f t="shared" ca="1" si="11"/>
        <v>493196.45056999999</v>
      </c>
    </row>
    <row r="34" spans="1:46" ht="15.75">
      <c r="A34" s="43"/>
      <c r="B34" s="43"/>
      <c r="C34" s="43"/>
      <c r="D34" s="43"/>
      <c r="E34" s="43"/>
      <c r="F34" s="142">
        <f t="shared" si="6"/>
        <v>28</v>
      </c>
      <c r="G34" s="72"/>
      <c r="H34" s="76" t="s">
        <v>55</v>
      </c>
      <c r="I34" s="76"/>
      <c r="J34" s="89">
        <f ca="1">+(M9-M11)/J26</f>
        <v>0.40036369257879512</v>
      </c>
      <c r="K34" s="89">
        <f ca="1">+M14/J26</f>
        <v>0.31628731713724817</v>
      </c>
      <c r="L34" s="72"/>
      <c r="M34" s="72"/>
      <c r="N34" s="72"/>
      <c r="O34" s="46"/>
      <c r="P34" s="43"/>
      <c r="R34" s="7">
        <v>4</v>
      </c>
      <c r="S34" s="123">
        <f ca="1">AI29/Investment*100</f>
        <v>489.38120085739138</v>
      </c>
      <c r="T34" s="8">
        <f ca="1">EXP(y_inter4-(slope*LN(S34)))</f>
        <v>4.2979354875423361</v>
      </c>
      <c r="U34" s="4">
        <f ca="1">(+S34*T34/100)/100</f>
        <v>0.21033288301010661</v>
      </c>
      <c r="V34" s="4">
        <f>regDebt_weighted</f>
        <v>3.5860000000000003E-2</v>
      </c>
      <c r="W34" s="4">
        <f ca="1">+U34-V34</f>
        <v>0.17447288301010661</v>
      </c>
      <c r="X34" s="4">
        <f ca="1">+((W34*(1-0.34))-Pfd_weighted)/Equity_percent</f>
        <v>0.31675029879846034</v>
      </c>
      <c r="Y34" s="4">
        <f ca="1">+X34*equityP</f>
        <v>0.19005017927907619</v>
      </c>
      <c r="Z34" s="4">
        <f ca="1">+Y34/(1-taxrate)</f>
        <v>0.24056984718870403</v>
      </c>
      <c r="AA34" s="4">
        <f>debtP*Debt_Rate</f>
        <v>2.6000000000000002E-2</v>
      </c>
      <c r="AB34" s="4">
        <f ca="1">+AA34+Z34</f>
        <v>0.26656984718870402</v>
      </c>
      <c r="AC34" s="4">
        <f ca="1">+AB34/(S34/100)</f>
        <v>5.4470798371836944E-2</v>
      </c>
      <c r="AD34" s="4">
        <f ca="1">1-AC34</f>
        <v>0.94552920162816301</v>
      </c>
      <c r="AE34" s="124">
        <f ca="1">expenses/(AD34)</f>
        <v>492350.77250764059</v>
      </c>
      <c r="AF34" s="125">
        <f ca="1">+AE34-Revenue</f>
        <v>29591.620384875743</v>
      </c>
      <c r="AG34" s="126">
        <f ca="1">+AF34/$J$49</f>
        <v>31973.623124593807</v>
      </c>
      <c r="AH34" s="126">
        <f ca="1">+AG34*$J$47</f>
        <v>642.66982480433546</v>
      </c>
      <c r="AI34" s="124">
        <f t="shared" ca="1" si="11"/>
        <v>492993.44232999999</v>
      </c>
    </row>
    <row r="35" spans="1:46" ht="15.75">
      <c r="A35" s="43"/>
      <c r="B35" s="43"/>
      <c r="C35" s="43"/>
      <c r="D35" s="43"/>
      <c r="E35" s="43"/>
      <c r="F35" s="142">
        <f t="shared" si="6"/>
        <v>29</v>
      </c>
      <c r="G35" s="72"/>
      <c r="H35" s="92" t="s">
        <v>31</v>
      </c>
      <c r="I35" s="76"/>
      <c r="J35" s="89">
        <f ca="1">+K8/K7</f>
        <v>0.94552999999999998</v>
      </c>
      <c r="K35" s="89">
        <f ca="1">+M8/M7</f>
        <v>0.94560100655043222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6"/>
        <v>30</v>
      </c>
      <c r="G36" s="72"/>
      <c r="H36" s="76" t="s">
        <v>56</v>
      </c>
      <c r="I36" s="76"/>
      <c r="J36" s="89">
        <f ca="1">+K9/K7</f>
        <v>5.4469999999999991E-2</v>
      </c>
      <c r="K36" s="89">
        <f ca="1">+J36</f>
        <v>5.4469999999999991E-2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490.36589518024022</v>
      </c>
      <c r="T36" s="118">
        <f ca="1">EXP(y_inter1-(slope*LN(+S36)))</f>
        <v>4.4245144489648709</v>
      </c>
      <c r="U36" s="119">
        <f ca="1">(+S36*T36/100)/100</f>
        <v>0.21696309885045661</v>
      </c>
      <c r="V36" s="119">
        <f>regDebt_weighted</f>
        <v>3.5860000000000003E-2</v>
      </c>
      <c r="W36" s="119">
        <f ca="1">+U36-V36</f>
        <v>0.18110309885045661</v>
      </c>
      <c r="X36" s="119">
        <f ca="1">+((W36*(1-0.34))-Pfd_weighted)/Equity_percent</f>
        <v>0.32947106174796909</v>
      </c>
      <c r="Y36" s="119">
        <f ca="1">+X36*equityP</f>
        <v>0.19768263704878145</v>
      </c>
      <c r="Z36" s="119">
        <f ca="1">+Y36/(1-taxrate)</f>
        <v>0.25023118613769801</v>
      </c>
      <c r="AA36" s="119">
        <f>debtP*Debt_Rate</f>
        <v>2.6000000000000002E-2</v>
      </c>
      <c r="AB36" s="119">
        <f ca="1">+AA36+Z36</f>
        <v>0.27623118613769804</v>
      </c>
      <c r="AC36" s="119">
        <f ca="1">+AB36/(S36/100)</f>
        <v>5.6331647215425891E-2</v>
      </c>
      <c r="AD36" s="119">
        <f ca="1">1-AC36</f>
        <v>0.94366835278457406</v>
      </c>
      <c r="AE36" s="120">
        <f ca="1">expenses/(AD36)</f>
        <v>493321.65424056875</v>
      </c>
      <c r="AF36" s="121">
        <f ca="1">+AE36-Revenue</f>
        <v>30562.502117803902</v>
      </c>
      <c r="AG36" s="122">
        <f ca="1">+AF36/$J$49</f>
        <v>33022.656811274355</v>
      </c>
      <c r="AH36" s="122">
        <f ca="1">+AG36*$J$47</f>
        <v>663.75540190661457</v>
      </c>
      <c r="AI36" s="120">
        <f ca="1">ROUND(+AH36+AE36,5)</f>
        <v>493985.40964000003</v>
      </c>
    </row>
    <row r="37" spans="1:46" ht="15.75">
      <c r="A37" s="43"/>
      <c r="B37" s="43"/>
      <c r="C37" s="43"/>
      <c r="D37" s="43"/>
      <c r="E37" s="43"/>
      <c r="F37" s="142">
        <f t="shared" si="6"/>
        <v>31</v>
      </c>
      <c r="G37" s="72"/>
      <c r="H37" s="76" t="s">
        <v>57</v>
      </c>
      <c r="I37" s="74"/>
      <c r="J37" s="93">
        <f ca="1">+S39/100</f>
        <v>4.8938119629109638</v>
      </c>
      <c r="K37" s="93">
        <f ca="1">+J37</f>
        <v>4.8938119629109638</v>
      </c>
      <c r="L37" s="72"/>
      <c r="M37" s="72"/>
      <c r="N37" s="72"/>
      <c r="O37" s="43"/>
      <c r="P37" s="43"/>
      <c r="R37" s="35">
        <v>2</v>
      </c>
      <c r="S37" s="123">
        <f ca="1">AI32/Investment*100</f>
        <v>489.89785252115416</v>
      </c>
      <c r="T37" s="34">
        <f ca="1">EXP(y_inter2-(slope*LN(+S37)))</f>
        <v>4.3644116925516734</v>
      </c>
      <c r="U37" s="4">
        <f ca="1">(+S37*T37/100)/100</f>
        <v>0.21381159156992804</v>
      </c>
      <c r="V37" s="4">
        <f>regDebt_weighted</f>
        <v>3.5860000000000003E-2</v>
      </c>
      <c r="W37" s="4">
        <f ca="1">+U37-V37</f>
        <v>0.17795159156992804</v>
      </c>
      <c r="X37" s="4">
        <f ca="1">+((W37*(1-0.34))-Pfd_weighted)/Equity_percent</f>
        <v>0.32342456522137353</v>
      </c>
      <c r="Y37" s="4">
        <f ca="1">+X37*equityP</f>
        <v>0.19405473913282412</v>
      </c>
      <c r="Z37" s="4">
        <f ca="1">+Y37/(1-taxrate)</f>
        <v>0.24563891029471407</v>
      </c>
      <c r="AA37" s="4">
        <f>debtP*Debt_Rate</f>
        <v>2.6000000000000002E-2</v>
      </c>
      <c r="AB37" s="4">
        <f ca="1">+AA37+Z37</f>
        <v>0.2716389102947141</v>
      </c>
      <c r="AC37" s="4">
        <f ca="1">+AB37/(S37/100)</f>
        <v>5.5448071245216272E-2</v>
      </c>
      <c r="AD37" s="4">
        <f ca="1">1-AC37</f>
        <v>0.94455192875478378</v>
      </c>
      <c r="AE37" s="124">
        <f ca="1">expenses/(AD37)</f>
        <v>492860.17917921802</v>
      </c>
      <c r="AF37" s="125">
        <f ca="1">+AE37-Revenue</f>
        <v>30101.027056453167</v>
      </c>
      <c r="AG37" s="126">
        <f ca="1">+AF37/$J$49</f>
        <v>32524.034920985156</v>
      </c>
      <c r="AH37" s="126">
        <f ca="1">+AG37*$J$47</f>
        <v>653.73310191180167</v>
      </c>
      <c r="AI37" s="124">
        <f t="shared" ref="AI37:AI39" ca="1" si="12">ROUND(+AH37+AE37,5)</f>
        <v>493513.91227999999</v>
      </c>
    </row>
    <row r="38" spans="1:46" ht="15.75">
      <c r="A38" s="43"/>
      <c r="B38" s="43"/>
      <c r="C38" s="43"/>
      <c r="D38" s="43"/>
      <c r="E38" s="43"/>
      <c r="F38" s="142">
        <f t="shared" si="6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489.58271705550783</v>
      </c>
      <c r="T38" s="6">
        <f ca="1">EXP(y_inter3-(slope*LN(S38)))</f>
        <v>4.3238807735350715</v>
      </c>
      <c r="U38" s="4">
        <f ca="1">(+S38*T38/100)/100</f>
        <v>0.2116897297331371</v>
      </c>
      <c r="V38" s="4">
        <f>regDebt_weighted</f>
        <v>3.5860000000000003E-2</v>
      </c>
      <c r="W38" s="4">
        <f ca="1">+U38-V38</f>
        <v>0.1758297297331371</v>
      </c>
      <c r="X38" s="4">
        <f ca="1">+((W38*(1-0.34))-Pfd_weighted)/Equity_percent</f>
        <v>0.31935355123218162</v>
      </c>
      <c r="Y38" s="4">
        <f ca="1">+X38*equityP</f>
        <v>0.19161213073930897</v>
      </c>
      <c r="Z38" s="4">
        <f ca="1">+Y38/(1-taxrate)</f>
        <v>0.24254700093583412</v>
      </c>
      <c r="AA38" s="4">
        <f>debtP*Debt_Rate</f>
        <v>2.6000000000000002E-2</v>
      </c>
      <c r="AB38" s="4">
        <f ca="1">+AA38+Z38</f>
        <v>0.26854700093583411</v>
      </c>
      <c r="AC38" s="4">
        <f ca="1">+AB38/(S38/100)</f>
        <v>5.4852222429532138E-2</v>
      </c>
      <c r="AD38" s="4">
        <f ca="1">1-AC38</f>
        <v>0.94514777757046786</v>
      </c>
      <c r="AE38" s="124">
        <f ca="1">expenses/(AD38)</f>
        <v>492549.46570029866</v>
      </c>
      <c r="AF38" s="125">
        <f ca="1">+AE38-Revenue</f>
        <v>29790.313577533816</v>
      </c>
      <c r="AG38" s="126">
        <f ca="1">+AF38/$J$49</f>
        <v>32188.310295382147</v>
      </c>
      <c r="AH38" s="126">
        <f ca="1">+AG38*$J$47</f>
        <v>646.98503693718112</v>
      </c>
      <c r="AI38" s="124">
        <f t="shared" ca="1" si="12"/>
        <v>493196.45074</v>
      </c>
    </row>
    <row r="39" spans="1:46" ht="15.75">
      <c r="A39" s="43"/>
      <c r="B39" s="43"/>
      <c r="C39" s="43"/>
      <c r="D39" s="43"/>
      <c r="E39" s="43"/>
      <c r="F39" s="142">
        <f t="shared" si="6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489.38119629109639</v>
      </c>
      <c r="T39" s="8">
        <f ca="1">EXP(y_inter4-(slope*LN(S39)))</f>
        <v>4.2979355149595371</v>
      </c>
      <c r="U39" s="4">
        <f ca="1">(+S39*T39/100)/100</f>
        <v>0.21033288238928877</v>
      </c>
      <c r="V39" s="4">
        <f>regDebt_weighted</f>
        <v>3.5860000000000003E-2</v>
      </c>
      <c r="W39" s="4">
        <f ca="1">+U39-V39</f>
        <v>0.17447288238928876</v>
      </c>
      <c r="X39" s="4">
        <f ca="1">+((W39*(1-0.34))-Pfd_weighted)/Equity_percent</f>
        <v>0.31675029760735635</v>
      </c>
      <c r="Y39" s="4">
        <f ca="1">+X39*equityP</f>
        <v>0.19005017856441381</v>
      </c>
      <c r="Z39" s="4">
        <f ca="1">+Y39/(1-taxrate)</f>
        <v>0.24056984628406811</v>
      </c>
      <c r="AA39" s="4">
        <f>debtP*Debt_Rate</f>
        <v>2.6000000000000002E-2</v>
      </c>
      <c r="AB39" s="4">
        <f ca="1">+AA39+Z39</f>
        <v>0.2665698462840681</v>
      </c>
      <c r="AC39" s="4">
        <f ca="1">+AB39/(S39/100)</f>
        <v>5.447079869523748E-2</v>
      </c>
      <c r="AD39" s="4">
        <f ca="1">1-AC39</f>
        <v>0.94552920130476248</v>
      </c>
      <c r="AE39" s="124">
        <f ca="1">expenses/(AD39)</f>
        <v>492350.77267603989</v>
      </c>
      <c r="AF39" s="125">
        <f ca="1">+AE39-Revenue</f>
        <v>29591.620553275046</v>
      </c>
      <c r="AG39" s="126">
        <f ca="1">+AF39/$J$49</f>
        <v>31973.623306548554</v>
      </c>
      <c r="AH39" s="126">
        <f ca="1">+AG39*$J$47</f>
        <v>642.66982846162591</v>
      </c>
      <c r="AI39" s="124">
        <f t="shared" ca="1" si="12"/>
        <v>492993.4425</v>
      </c>
    </row>
    <row r="40" spans="1:46" ht="15.75">
      <c r="A40" s="43"/>
      <c r="B40" s="43"/>
      <c r="C40" s="43"/>
      <c r="D40" s="43"/>
      <c r="E40" s="43"/>
      <c r="F40" s="142">
        <f t="shared" si="6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6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6"/>
        <v>36</v>
      </c>
      <c r="G42" s="72"/>
      <c r="H42" s="72"/>
      <c r="I42" s="72"/>
      <c r="J42" s="108" t="s">
        <v>48</v>
      </c>
      <c r="K42" s="200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6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479.59760905699875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5.447079869523748E-2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6"/>
        <v>38</v>
      </c>
      <c r="G44" s="72"/>
      <c r="H44" s="76" t="s">
        <v>63</v>
      </c>
      <c r="I44" s="75"/>
      <c r="J44" s="127">
        <f t="shared" ref="J44:J46" si="13">IF($A$65=TRUE,C12,0)</f>
        <v>5.1000000000000004E-3</v>
      </c>
      <c r="K44" s="128">
        <f ca="1">+J44*($J$7/$J$49)</f>
        <v>163.06318707937959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0.94552999999999998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6"/>
        <v>39</v>
      </c>
      <c r="G45" s="72"/>
      <c r="H45" s="76" t="s">
        <v>66</v>
      </c>
      <c r="I45" s="75"/>
      <c r="J45" s="127">
        <f t="shared" si="13"/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6.533391142860534E-2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6"/>
        <v>40</v>
      </c>
      <c r="G46" s="72"/>
      <c r="H46" s="76" t="s">
        <v>69</v>
      </c>
      <c r="I46" s="75"/>
      <c r="J46" s="127">
        <f t="shared" si="13"/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6"/>
        <v>41</v>
      </c>
      <c r="G47" s="72"/>
      <c r="H47" s="76" t="s">
        <v>71</v>
      </c>
      <c r="I47" s="74"/>
      <c r="J47" s="137">
        <f>SUM(J43:J46)</f>
        <v>2.01E-2</v>
      </c>
      <c r="K47" s="136">
        <f ca="1">+K43+K44+K45+K46</f>
        <v>642.66079613637839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6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489.38119629109639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6"/>
        <v>43</v>
      </c>
      <c r="G49" s="178"/>
      <c r="H49" s="201" t="s">
        <v>73</v>
      </c>
      <c r="I49" s="100"/>
      <c r="J49" s="202">
        <f ca="1">((K35)-J47)</f>
        <v>0.92550100655043221</v>
      </c>
      <c r="K49" s="100"/>
      <c r="L49" s="100"/>
      <c r="M49" s="100"/>
      <c r="N49" s="100"/>
      <c r="O49" s="43"/>
      <c r="P49" s="43"/>
      <c r="R49" s="149">
        <f ca="1">VLOOKUP(S36,R43:S46,2)</f>
        <v>4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0.94552999999999998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Z68" ca="1" si="14">+J33</f>
        <v>0.26621821554727704</v>
      </c>
      <c r="Z63" s="20">
        <f ca="1">+K33</f>
        <v>0.21577239028234887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4"/>
        <v>0.40036369257879512</v>
      </c>
      <c r="Z64" s="20">
        <f t="shared" ca="1" si="14"/>
        <v>0.31628731713724817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4"/>
        <v>0.94552999999999998</v>
      </c>
      <c r="Z65" s="20">
        <f t="shared" ca="1" si="14"/>
        <v>0.94560100655043222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4"/>
        <v>5.4469999999999991E-2</v>
      </c>
      <c r="Z66" s="20">
        <f t="shared" ca="1" si="14"/>
        <v>5.4469999999999991E-2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4"/>
        <v>4.8938119629109638</v>
      </c>
      <c r="Z67" s="20">
        <f t="shared" ca="1" si="14"/>
        <v>4.8938119629109638</v>
      </c>
      <c r="AC67" s="13"/>
      <c r="AH67" s="10"/>
    </row>
    <row r="68" spans="1:38">
      <c r="O68" s="9"/>
      <c r="W68" s="25" t="s">
        <v>58</v>
      </c>
      <c r="X68" s="110"/>
      <c r="Y68" s="20">
        <f t="shared" si="14"/>
        <v>0.21</v>
      </c>
      <c r="Z68" s="20">
        <f t="shared" si="14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portrait" r:id="rId1"/>
  <headerFooter alignWithMargins="0"/>
  <ignoredErrors>
    <ignoredError sqref="I12:J12 I14" evalError="1"/>
  </ignoredErrors>
  <legacyDrawing r:id="rId2"/>
  <controls>
    <control shapeId="38913" r:id="rId3" name="CheckBox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AT113"/>
  <sheetViews>
    <sheetView showGridLines="0" showOutlineSymbols="0" topLeftCell="C6" zoomScale="120" zoomScaleNormal="120" workbookViewId="0">
      <selection activeCell="I12" sqref="I12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683" t="s">
        <v>106</v>
      </c>
      <c r="C2" s="683"/>
      <c r="D2" s="43"/>
      <c r="E2" s="43"/>
      <c r="F2" s="169" t="s">
        <v>112</v>
      </c>
      <c r="G2" s="98"/>
      <c r="H2" s="98"/>
      <c r="I2" s="99" t="s">
        <v>125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684" t="s">
        <v>92</v>
      </c>
      <c r="AG2" s="685"/>
      <c r="AH2" s="685"/>
      <c r="AI2" s="686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>'Recycling Adj.'!H16</f>
        <v>18915.510000000009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'Recycling Adj.'!H67</f>
        <v>40209.171480715755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114.7832931397223</v>
      </c>
      <c r="T6" s="118">
        <f>EXP(y_inter1-(slope*LN(+S6)))</f>
        <v>11.940330409207208</v>
      </c>
      <c r="U6" s="119">
        <f>(+S6*T6/100)/100</f>
        <v>0.13705504455451711</v>
      </c>
      <c r="V6" s="119">
        <f>regDebt_weighted</f>
        <v>3.5860000000000003E-2</v>
      </c>
      <c r="W6" s="119">
        <f>+U6-V6</f>
        <v>0.10119504455451711</v>
      </c>
      <c r="X6" s="119">
        <f>+((W6*(1-0.34))-Pfd_weighted)/Equity_percent</f>
        <v>0.17615909711041072</v>
      </c>
      <c r="Y6" s="119">
        <f>X6*equityP</f>
        <v>0.10569545826624643</v>
      </c>
      <c r="Z6" s="119">
        <f>+Y6/(1-taxrate)</f>
        <v>0.13379171932436257</v>
      </c>
      <c r="AA6" s="119">
        <f>debtP*Debt_Rate</f>
        <v>2.6000000000000002E-2</v>
      </c>
      <c r="AB6" s="119">
        <f>AA6+Z6</f>
        <v>0.15979171932436256</v>
      </c>
      <c r="AC6" s="119">
        <f>AB6/(S6/100)</f>
        <v>0.13921165263123514</v>
      </c>
      <c r="AD6" s="119">
        <f>1-AC6</f>
        <v>0.86078834736876486</v>
      </c>
      <c r="AE6" s="120">
        <f>expenses/(AD6)</f>
        <v>46712.030435386456</v>
      </c>
      <c r="AF6" s="121">
        <f>+AE6-Revenue</f>
        <v>27796.520435386446</v>
      </c>
      <c r="AG6" s="122">
        <f ca="1">+AF6/$J$49</f>
        <v>30858.228406619277</v>
      </c>
      <c r="AH6" s="122">
        <f ca="1">+AG6*$J$47</f>
        <v>620.2503909730475</v>
      </c>
      <c r="AI6" s="120">
        <f ca="1">ROUND(+AH6+AE6,5)</f>
        <v>47332.280830000003</v>
      </c>
    </row>
    <row r="7" spans="1:35" ht="15.75">
      <c r="A7" s="43"/>
      <c r="B7" s="134" t="s">
        <v>104</v>
      </c>
      <c r="C7" s="130">
        <f>Assets!Q32</f>
        <v>16479.323325368194</v>
      </c>
      <c r="D7" s="116"/>
      <c r="E7" s="43"/>
      <c r="F7" s="141">
        <v>1</v>
      </c>
      <c r="G7" s="76"/>
      <c r="H7" s="79" t="s">
        <v>32</v>
      </c>
      <c r="I7" s="80">
        <f>IF(A65=TRUE,C5,0)</f>
        <v>18915.510000000009</v>
      </c>
      <c r="J7" s="80">
        <f ca="1">(+$I8/($R51))-I7</f>
        <v>24795.812651558619</v>
      </c>
      <c r="K7" s="80">
        <f ca="1">+I7+J7</f>
        <v>43711.322651558628</v>
      </c>
      <c r="L7" s="80">
        <f ca="1">((+J7/J49*K35)-J7)</f>
        <v>553.29272335988571</v>
      </c>
      <c r="M7" s="80">
        <f ca="1">IFERROR(+K7+L7,0.00001)</f>
        <v>44264.615374918518</v>
      </c>
      <c r="O7" s="49"/>
      <c r="P7" s="43"/>
      <c r="R7" s="35">
        <v>2</v>
      </c>
      <c r="S7" s="123">
        <f>Revenue/Investment*100</f>
        <v>114.7832931397223</v>
      </c>
      <c r="T7" s="6">
        <f>EXP(y_inter1-(slope*LN(+S7)))</f>
        <v>11.940330409207208</v>
      </c>
      <c r="U7" s="4">
        <f t="shared" ref="U7:U9" si="0">(+S7*T7/100)/100</f>
        <v>0.13705504455451711</v>
      </c>
      <c r="V7" s="4">
        <f>regDebt_weighted</f>
        <v>3.5860000000000003E-2</v>
      </c>
      <c r="W7" s="4">
        <f t="shared" ref="W7:W9" si="1">+U7-V7</f>
        <v>0.10119504455451711</v>
      </c>
      <c r="X7" s="4">
        <f>+((W7*(1-0.34))-Pfd_weighted)/Equity_percent</f>
        <v>0.17615909711041072</v>
      </c>
      <c r="Y7" s="4">
        <f>X7*equityP</f>
        <v>0.10569545826624643</v>
      </c>
      <c r="Z7" s="4">
        <f>+Y7/(1-taxrate)</f>
        <v>0.13379171932436257</v>
      </c>
      <c r="AA7" s="4">
        <f>debtP*Debt_Rate</f>
        <v>2.6000000000000002E-2</v>
      </c>
      <c r="AB7" s="4">
        <f t="shared" ref="AB7:AB9" si="2">AA7+Z7</f>
        <v>0.15979171932436256</v>
      </c>
      <c r="AC7" s="4">
        <f t="shared" ref="AC7:AC9" si="3">AB7/(S7/100)</f>
        <v>0.13921165263123514</v>
      </c>
      <c r="AD7" s="4">
        <f t="shared" ref="AD7:AD9" si="4">1-AC7</f>
        <v>0.86078834736876486</v>
      </c>
      <c r="AE7" s="124">
        <f>expenses/(AD7)</f>
        <v>46712.030435386456</v>
      </c>
      <c r="AF7" s="125">
        <f>+AE7-Revenue</f>
        <v>27796.520435386446</v>
      </c>
      <c r="AG7" s="126">
        <f ca="1">+AF7/$J$49</f>
        <v>30858.228406619277</v>
      </c>
      <c r="AH7" s="126">
        <f ca="1">+AG7*$J$47</f>
        <v>620.2503909730475</v>
      </c>
      <c r="AI7" s="124">
        <f t="shared" ref="AI7:AI9" ca="1" si="5">ROUND(+AH7+AE7,5)</f>
        <v>47332.280830000003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40209.171480715755</v>
      </c>
      <c r="J8" s="72"/>
      <c r="K8" s="80">
        <f>+I8</f>
        <v>40209.171480715755</v>
      </c>
      <c r="L8" s="80">
        <f ca="1">+L7</f>
        <v>553.29272335988571</v>
      </c>
      <c r="M8" s="80">
        <f ca="1">IFERROR(+K8+L8,0.00001)</f>
        <v>40762.464204075644</v>
      </c>
      <c r="O8" s="49"/>
      <c r="P8" s="43"/>
      <c r="R8" s="5">
        <v>3</v>
      </c>
      <c r="S8" s="123">
        <f>Revenue/Investment*100</f>
        <v>114.7832931397223</v>
      </c>
      <c r="T8" s="6">
        <f>EXP(y_inter1-(slope*LN(+S8)))</f>
        <v>11.940330409207208</v>
      </c>
      <c r="U8" s="4">
        <f t="shared" si="0"/>
        <v>0.13705504455451711</v>
      </c>
      <c r="V8" s="4">
        <f>regDebt_weighted</f>
        <v>3.5860000000000003E-2</v>
      </c>
      <c r="W8" s="4">
        <f t="shared" si="1"/>
        <v>0.10119504455451711</v>
      </c>
      <c r="X8" s="4">
        <f>+((W8*(1-0.34))-Pfd_weighted)/Equity_percent</f>
        <v>0.17615909711041072</v>
      </c>
      <c r="Y8" s="4">
        <f>X8*equityP</f>
        <v>0.10569545826624643</v>
      </c>
      <c r="Z8" s="4">
        <f>+Y8/(1-taxrate)</f>
        <v>0.13379171932436257</v>
      </c>
      <c r="AA8" s="4">
        <f>debtP*Debt_Rate</f>
        <v>2.6000000000000002E-2</v>
      </c>
      <c r="AB8" s="4">
        <f t="shared" si="2"/>
        <v>0.15979171932436256</v>
      </c>
      <c r="AC8" s="4">
        <f t="shared" si="3"/>
        <v>0.13921165263123514</v>
      </c>
      <c r="AD8" s="4">
        <f t="shared" si="4"/>
        <v>0.86078834736876486</v>
      </c>
      <c r="AE8" s="124">
        <f>expenses/(AD8)</f>
        <v>46712.030435386456</v>
      </c>
      <c r="AF8" s="125">
        <f>+AE8-Revenue</f>
        <v>27796.520435386446</v>
      </c>
      <c r="AG8" s="126">
        <f ca="1">+AF8/$J$49</f>
        <v>30858.228406619277</v>
      </c>
      <c r="AH8" s="126">
        <f ca="1">+AG8*$J$47</f>
        <v>620.2503909730475</v>
      </c>
      <c r="AI8" s="124">
        <f t="shared" ca="1" si="5"/>
        <v>47332.280830000003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6">+F8+1</f>
        <v>3</v>
      </c>
      <c r="G9" s="76"/>
      <c r="H9" s="79" t="s">
        <v>34</v>
      </c>
      <c r="I9" s="81">
        <f>+I7-I8</f>
        <v>-21293.661480715746</v>
      </c>
      <c r="J9" s="72"/>
      <c r="K9" s="81">
        <f ca="1">+K7-K8</f>
        <v>3502.1511708428734</v>
      </c>
      <c r="L9" s="76"/>
      <c r="M9" s="82">
        <f ca="1">+M7-M8</f>
        <v>3502.1511708428734</v>
      </c>
      <c r="O9" s="49"/>
      <c r="P9" s="43"/>
      <c r="R9" s="7">
        <v>4</v>
      </c>
      <c r="S9" s="123">
        <f>Revenue/Investment*100</f>
        <v>114.7832931397223</v>
      </c>
      <c r="T9" s="6">
        <f>EXP(y_inter1-(slope*LN(+S9)))</f>
        <v>11.940330409207208</v>
      </c>
      <c r="U9" s="4">
        <f t="shared" si="0"/>
        <v>0.13705504455451711</v>
      </c>
      <c r="V9" s="4">
        <f>regDebt_weighted</f>
        <v>3.5860000000000003E-2</v>
      </c>
      <c r="W9" s="4">
        <f t="shared" si="1"/>
        <v>0.10119504455451711</v>
      </c>
      <c r="X9" s="4">
        <f>+((W9*(1-0.34))-Pfd_weighted)/Equity_percent</f>
        <v>0.17615909711041072</v>
      </c>
      <c r="Y9" s="4">
        <f>X9*equityP</f>
        <v>0.10569545826624643</v>
      </c>
      <c r="Z9" s="4">
        <f>+Y9/(1-taxrate)</f>
        <v>0.13379171932436257</v>
      </c>
      <c r="AA9" s="4">
        <f>debtP*Debt_Rate</f>
        <v>2.6000000000000002E-2</v>
      </c>
      <c r="AB9" s="4">
        <f t="shared" si="2"/>
        <v>0.15979171932436256</v>
      </c>
      <c r="AC9" s="4">
        <f t="shared" si="3"/>
        <v>0.13921165263123514</v>
      </c>
      <c r="AD9" s="4">
        <f t="shared" si="4"/>
        <v>0.86078834736876486</v>
      </c>
      <c r="AE9" s="124">
        <f>expenses/(AD9)</f>
        <v>46712.030435386456</v>
      </c>
      <c r="AF9" s="125">
        <f>+AE9-Revenue</f>
        <v>27796.520435386446</v>
      </c>
      <c r="AG9" s="126">
        <f ca="1">+AF9/$J$49</f>
        <v>30858.228406619277</v>
      </c>
      <c r="AH9" s="126">
        <f ca="1">+AG9*$J$47</f>
        <v>620.2503909730475</v>
      </c>
      <c r="AI9" s="124">
        <f t="shared" ca="1" si="5"/>
        <v>47332.280830000003</v>
      </c>
    </row>
    <row r="10" spans="1:35" ht="15.75">
      <c r="A10" s="43"/>
      <c r="B10" s="203" t="s">
        <v>98</v>
      </c>
      <c r="C10" s="131">
        <v>0.21</v>
      </c>
      <c r="D10" s="116"/>
      <c r="E10" s="43"/>
      <c r="F10" s="142">
        <f t="shared" si="6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1.4999999999999999E-2</v>
      </c>
      <c r="D11" s="116"/>
      <c r="E11" s="43"/>
      <c r="F11" s="142">
        <f t="shared" si="6"/>
        <v>5</v>
      </c>
      <c r="G11" s="76"/>
      <c r="H11" s="79" t="s">
        <v>35</v>
      </c>
      <c r="I11" s="80">
        <f>+K11</f>
        <v>428.46240645957312</v>
      </c>
      <c r="J11" s="72"/>
      <c r="K11" s="80">
        <f>+M27</f>
        <v>428.46240645957312</v>
      </c>
      <c r="L11" s="76"/>
      <c r="M11" s="80">
        <f>+K11</f>
        <v>428.46240645957312</v>
      </c>
      <c r="O11" s="49"/>
      <c r="P11" s="43"/>
      <c r="R11" s="3">
        <v>1</v>
      </c>
      <c r="S11" s="117">
        <f ca="1">IF((AI6/Investment*100)&gt;0,(AI6/Investment*100),0)</f>
        <v>287.22223537623609</v>
      </c>
      <c r="T11" s="118">
        <f ca="1">EXP(y_inter1-(slope*LN(S11)))</f>
        <v>6.377987481786171</v>
      </c>
      <c r="U11" s="119">
        <f ca="1">(+S11*T11/100)/100</f>
        <v>0.1831899821720275</v>
      </c>
      <c r="V11" s="119">
        <f>regDebt_weighted</f>
        <v>3.5860000000000003E-2</v>
      </c>
      <c r="W11" s="119">
        <f ca="1">+U11-V11</f>
        <v>0.1473299821720275</v>
      </c>
      <c r="X11" s="119">
        <f ca="1">+((W11*(1-0.34))-Pfd_weighted)/Equity_percent</f>
        <v>0.26467380300447135</v>
      </c>
      <c r="Y11" s="119">
        <f ca="1">+X11*equityP</f>
        <v>0.1588042818026828</v>
      </c>
      <c r="Z11" s="119">
        <f ca="1">+Y11/(1-taxrate)</f>
        <v>0.20101807823124404</v>
      </c>
      <c r="AA11" s="119">
        <f>debtP*Debt_Rate</f>
        <v>2.6000000000000002E-2</v>
      </c>
      <c r="AB11" s="119">
        <f ca="1">+AA11+Z11</f>
        <v>0.22701807823124404</v>
      </c>
      <c r="AC11" s="119">
        <f ca="1">+AB11/(S11/100)</f>
        <v>7.9039172553569931E-2</v>
      </c>
      <c r="AD11" s="119">
        <f ca="1">1-AC11</f>
        <v>0.92096082744643004</v>
      </c>
      <c r="AE11" s="120">
        <f ca="1">expenses/(AD11)</f>
        <v>43660.02362142229</v>
      </c>
      <c r="AF11" s="121">
        <f ca="1">+AE11-Revenue</f>
        <v>24744.51362142228</v>
      </c>
      <c r="AG11" s="122">
        <f ca="1">+AF11/$J$49</f>
        <v>27470.051689220898</v>
      </c>
      <c r="AH11" s="122">
        <f ca="1">+AG11*$J$47</f>
        <v>552.14803895334001</v>
      </c>
      <c r="AI11" s="120">
        <f ca="1">ROUND(+AH11+AE11,5)</f>
        <v>44212.17166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6"/>
        <v>6</v>
      </c>
      <c r="G12" s="76"/>
      <c r="H12" s="79" t="s">
        <v>37</v>
      </c>
      <c r="I12" s="80">
        <f ca="1">IF(I14&lt;0,0,+J38*I14)</f>
        <v>0</v>
      </c>
      <c r="J12" s="80">
        <f ca="1">+K12-I12</f>
        <v>645.47464052049304</v>
      </c>
      <c r="K12" s="80">
        <f ca="1">+(K9-K11)*taxrate</f>
        <v>645.47464052049304</v>
      </c>
      <c r="L12" s="76"/>
      <c r="M12" s="80">
        <f ca="1">+K12</f>
        <v>645.47464052049304</v>
      </c>
      <c r="O12" s="49"/>
      <c r="P12" s="43"/>
      <c r="R12" s="35">
        <v>2</v>
      </c>
      <c r="S12" s="123">
        <f ca="1">IF((AI7/Investment*100)&gt;0,(AI7/Investment*100),0)</f>
        <v>287.22223537623609</v>
      </c>
      <c r="T12" s="34">
        <f ca="1">EXP(y_inter2-(slope*LN(+S12)))</f>
        <v>6.2872426606725718</v>
      </c>
      <c r="U12" s="4">
        <f ca="1">(+S12*T12/100)/100</f>
        <v>0.18058358913512101</v>
      </c>
      <c r="V12" s="4">
        <f>regDebt_weighted</f>
        <v>3.5860000000000003E-2</v>
      </c>
      <c r="W12" s="4">
        <f ca="1">+U12-V12</f>
        <v>0.14472358913512101</v>
      </c>
      <c r="X12" s="4">
        <f ca="1">+((W12*(1-0.34))-Pfd_weighted)/Equity_percent</f>
        <v>0.25967316520110428</v>
      </c>
      <c r="Y12" s="4">
        <f ca="1">+X12*equityP</f>
        <v>0.15580389912066256</v>
      </c>
      <c r="Z12" s="4">
        <f ca="1">+Y12/(1-taxrate)</f>
        <v>0.1972201254691931</v>
      </c>
      <c r="AA12" s="4">
        <f>debtP*Debt_Rate</f>
        <v>2.6000000000000002E-2</v>
      </c>
      <c r="AB12" s="4">
        <f ca="1">+AA12+Z12</f>
        <v>0.22322012546919309</v>
      </c>
      <c r="AC12" s="4">
        <f ca="1">+AB12/(S12/100)</f>
        <v>7.7716867977437112E-2</v>
      </c>
      <c r="AD12" s="4">
        <f ca="1">1-AC12</f>
        <v>0.92228313202256285</v>
      </c>
      <c r="AE12" s="124">
        <f ca="1">expenses/(AD12)</f>
        <v>43597.426955578405</v>
      </c>
      <c r="AF12" s="125">
        <f ca="1">+AE12-Revenue</f>
        <v>24681.916955578396</v>
      </c>
      <c r="AG12" s="126">
        <f ca="1">+AF12/$J$49</f>
        <v>27400.560177986838</v>
      </c>
      <c r="AH12" s="126">
        <f ca="1">+AG12*$J$47</f>
        <v>550.75125957753539</v>
      </c>
      <c r="AI12" s="124">
        <f t="shared" ref="AI12:AI14" ca="1" si="7">ROUND(+AH12+AE12,5)</f>
        <v>44148.178220000002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6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287.22223537623609</v>
      </c>
      <c r="T13" s="6">
        <f ca="1">EXP(y_inter3-(slope*LN(S13)))</f>
        <v>6.2261153928117778</v>
      </c>
      <c r="U13" s="4">
        <f ca="1">(+S13*T13/100)/100</f>
        <v>0.17882787808337908</v>
      </c>
      <c r="V13" s="4">
        <f>regDebt_weighted</f>
        <v>3.5860000000000003E-2</v>
      </c>
      <c r="W13" s="4">
        <f ca="1">+U13-V13</f>
        <v>0.14296787808337907</v>
      </c>
      <c r="X13" s="4">
        <f ca="1">+((W13*(1-0.34))-Pfd_weighted)/Equity_percent</f>
        <v>0.25630464981113427</v>
      </c>
      <c r="Y13" s="4">
        <f ca="1">+X13*equityP</f>
        <v>0.15378278988668057</v>
      </c>
      <c r="Z13" s="4">
        <f ca="1">+Y13/(1-taxrate)</f>
        <v>0.19466175935022856</v>
      </c>
      <c r="AA13" s="4">
        <f>debtP*Debt_Rate</f>
        <v>2.6000000000000002E-2</v>
      </c>
      <c r="AB13" s="4">
        <f ca="1">+AA13+Z13</f>
        <v>0.22066175935022855</v>
      </c>
      <c r="AC13" s="4">
        <f ca="1">+AB13/(S13/100)</f>
        <v>7.6826140936192097E-2</v>
      </c>
      <c r="AD13" s="4">
        <f ca="1">1-AC13</f>
        <v>0.92317385906380789</v>
      </c>
      <c r="AE13" s="124">
        <f ca="1">expenses/(AD13)</f>
        <v>43555.361848625071</v>
      </c>
      <c r="AF13" s="125">
        <f ca="1">+AE13-Revenue</f>
        <v>24639.851848625061</v>
      </c>
      <c r="AG13" s="126">
        <f ca="1">+AF13/$J$49</f>
        <v>27353.861718683911</v>
      </c>
      <c r="AH13" s="126">
        <f ca="1">+AG13*$J$47</f>
        <v>549.81262054554657</v>
      </c>
      <c r="AI13" s="124">
        <f t="shared" ca="1" si="7"/>
        <v>44105.174469999998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6"/>
        <v>8</v>
      </c>
      <c r="G14" s="76"/>
      <c r="H14" s="76" t="s">
        <v>38</v>
      </c>
      <c r="I14" s="106">
        <f ca="1">+I9-SUM(I11:I13)</f>
        <v>-21722.123887175319</v>
      </c>
      <c r="J14" s="72"/>
      <c r="K14" s="106">
        <f ca="1">+K9-SUM(K11:K13)</f>
        <v>2428.2141238628074</v>
      </c>
      <c r="L14" s="76"/>
      <c r="M14" s="106">
        <f ca="1">+M9-SUM(M11:M13)</f>
        <v>2428.2141238628074</v>
      </c>
      <c r="O14" s="49"/>
      <c r="P14" s="43"/>
      <c r="R14" s="7">
        <v>4</v>
      </c>
      <c r="S14" s="123">
        <f ca="1">IF((AI9/Investment*100)&gt;0,(AI9/Investment*100),0)</f>
        <v>287.22223537623609</v>
      </c>
      <c r="T14" s="8">
        <f ca="1">EXP(y_inter4-(slope*LN(S14)))</f>
        <v>6.1870141640349372</v>
      </c>
      <c r="U14" s="4">
        <f ca="1">(+S14*T14/100)/100</f>
        <v>0.17770480384985493</v>
      </c>
      <c r="V14" s="4">
        <f>regDebt_weighted</f>
        <v>3.5860000000000003E-2</v>
      </c>
      <c r="W14" s="4">
        <f ca="1">+U14-V14</f>
        <v>0.14184480384985493</v>
      </c>
      <c r="X14" s="4">
        <f ca="1">+((W14*(1-0.34))-Pfd_weighted)/Equity_percent</f>
        <v>0.2541499143630937</v>
      </c>
      <c r="Y14" s="4">
        <f ca="1">+X14*equityP</f>
        <v>0.15248994861785622</v>
      </c>
      <c r="Z14" s="4">
        <f ca="1">+Y14/(1-taxrate)</f>
        <v>0.19302525141500787</v>
      </c>
      <c r="AA14" s="4">
        <f>debtP*Debt_Rate</f>
        <v>2.6000000000000002E-2</v>
      </c>
      <c r="AB14" s="4">
        <f ca="1">+AA14+Z14</f>
        <v>0.21902525141500787</v>
      </c>
      <c r="AC14" s="4">
        <f ca="1">+AB14/(S14/100)</f>
        <v>7.6256370307857216E-2</v>
      </c>
      <c r="AD14" s="4">
        <f ca="1">1-AC14</f>
        <v>0.92374362969214274</v>
      </c>
      <c r="AE14" s="124">
        <f ca="1">expenses/(AD14)</f>
        <v>43528.496639393677</v>
      </c>
      <c r="AF14" s="125">
        <f ca="1">+AE14-Revenue</f>
        <v>24612.986639393668</v>
      </c>
      <c r="AG14" s="126">
        <f ca="1">+AF14/$J$49</f>
        <v>27324.037382771759</v>
      </c>
      <c r="AH14" s="126">
        <f ca="1">+AG14*$J$47</f>
        <v>549.21315139371234</v>
      </c>
      <c r="AI14" s="124">
        <f t="shared" ca="1" si="7"/>
        <v>44077.709790000001</v>
      </c>
    </row>
    <row r="15" spans="1:35" ht="16.5" thickTop="1">
      <c r="A15" s="43"/>
      <c r="B15" s="687"/>
      <c r="C15" s="687"/>
      <c r="D15" s="43"/>
      <c r="E15" s="43"/>
      <c r="F15" s="142">
        <f t="shared" si="6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4" t="s">
        <v>126</v>
      </c>
      <c r="C16" s="688"/>
      <c r="D16" s="688"/>
      <c r="E16" s="43"/>
      <c r="F16" s="142">
        <f t="shared" si="6"/>
        <v>10</v>
      </c>
      <c r="G16" s="72"/>
      <c r="H16" s="184" t="s">
        <v>39</v>
      </c>
      <c r="I16" s="185">
        <f>+I8/I7</f>
        <v>2.1257249463913865</v>
      </c>
      <c r="J16" s="186"/>
      <c r="K16" s="185">
        <f ca="1">+K8/K7</f>
        <v>0.91988000000000014</v>
      </c>
      <c r="L16" s="187"/>
      <c r="M16" s="185">
        <f ca="1">+M8/M7</f>
        <v>0.92088147290607014</v>
      </c>
      <c r="O16" s="49"/>
      <c r="P16" s="43"/>
      <c r="R16" s="3">
        <v>1</v>
      </c>
      <c r="S16" s="117">
        <f ca="1">AI11/Investment*100</f>
        <v>268.2887566866292</v>
      </c>
      <c r="T16" s="118">
        <f ca="1">EXP(y_inter1-(slope*LN(+S16)))</f>
        <v>6.6823766294377789</v>
      </c>
      <c r="U16" s="119">
        <f ca="1">(+S16*T16/100)/100</f>
        <v>0.17928065176236496</v>
      </c>
      <c r="V16" s="119">
        <f>regDebt_weighted</f>
        <v>3.5860000000000003E-2</v>
      </c>
      <c r="W16" s="119">
        <f ca="1">+U16-V16</f>
        <v>0.14342065176236496</v>
      </c>
      <c r="X16" s="119">
        <f ca="1">+((W16*(1-0.34))-Pfd_weighted)/Equity_percent</f>
        <v>0.25717334349756066</v>
      </c>
      <c r="Y16" s="119">
        <f ca="1">+X16*equityP</f>
        <v>0.15430400609853639</v>
      </c>
      <c r="Z16" s="119">
        <f ca="1">+Y16/(1-taxrate)</f>
        <v>0.19532152670700809</v>
      </c>
      <c r="AA16" s="119">
        <f>debtP*Debt_Rate</f>
        <v>2.6000000000000002E-2</v>
      </c>
      <c r="AB16" s="119">
        <f ca="1">+AA16+Z16</f>
        <v>0.22132152670700808</v>
      </c>
      <c r="AC16" s="119">
        <f ca="1">+AB16/(S16/100)</f>
        <v>8.2493776273121822E-2</v>
      </c>
      <c r="AD16" s="119">
        <f ca="1">1-AC16</f>
        <v>0.91750622372687818</v>
      </c>
      <c r="AE16" s="120">
        <f ca="1">expenses/(AD16)</f>
        <v>43824.412784239772</v>
      </c>
      <c r="AF16" s="121">
        <f ca="1">+AE16-Revenue</f>
        <v>24908.902784239763</v>
      </c>
      <c r="AG16" s="122">
        <f ca="1">+AF16/$J$49</f>
        <v>27652.547852565749</v>
      </c>
      <c r="AH16" s="122">
        <f ca="1">+AG16*$J$47</f>
        <v>555.8162118365716</v>
      </c>
      <c r="AI16" s="120">
        <f ca="1">ROUND(+AH16+AE16,5)</f>
        <v>44380.228999999999</v>
      </c>
    </row>
    <row r="17" spans="1:35" ht="15.75">
      <c r="A17" s="43"/>
      <c r="B17" s="689"/>
      <c r="C17" s="688"/>
      <c r="D17" s="43" t="s">
        <v>102</v>
      </c>
      <c r="E17" s="43"/>
      <c r="F17" s="142">
        <f t="shared" si="6"/>
        <v>11</v>
      </c>
      <c r="G17" s="72"/>
      <c r="H17" s="188"/>
      <c r="I17" s="188"/>
      <c r="J17" s="173"/>
      <c r="K17" s="188"/>
      <c r="L17" s="184"/>
      <c r="M17" s="184"/>
      <c r="N17" s="83"/>
      <c r="O17" s="43"/>
      <c r="P17" s="43"/>
      <c r="R17" s="35">
        <v>2</v>
      </c>
      <c r="S17" s="123">
        <f ca="1">AI12/Investment*100</f>
        <v>267.90043103310256</v>
      </c>
      <c r="T17" s="34">
        <f ca="1">EXP(y_inter2-(slope*LN(+S17)))</f>
        <v>6.5938274686508986</v>
      </c>
      <c r="U17" s="4">
        <f ca="1">(+S17*T17/100)/100</f>
        <v>0.17664892210094874</v>
      </c>
      <c r="V17" s="4">
        <f>regDebt_weighted</f>
        <v>3.5860000000000003E-2</v>
      </c>
      <c r="W17" s="4">
        <f ca="1">+U17-V17</f>
        <v>0.14078892210094873</v>
      </c>
      <c r="X17" s="4">
        <f ca="1">+((W17*(1-0.34))-Pfd_weighted)/Equity_percent</f>
        <v>0.2521240947285644</v>
      </c>
      <c r="Y17" s="4">
        <f ca="1">+X17*equityP</f>
        <v>0.15127445683713864</v>
      </c>
      <c r="Z17" s="4">
        <f ca="1">+Y17/(1-taxrate)</f>
        <v>0.19148665422422612</v>
      </c>
      <c r="AA17" s="4">
        <f>debtP*Debt_Rate</f>
        <v>2.6000000000000002E-2</v>
      </c>
      <c r="AB17" s="4">
        <f ca="1">+AA17+Z17</f>
        <v>0.21748665422422611</v>
      </c>
      <c r="AC17" s="4">
        <f ca="1">+AB17/(S17/100)</f>
        <v>8.1181897836272165E-2</v>
      </c>
      <c r="AD17" s="4">
        <f ca="1">1-AC17</f>
        <v>0.91881810216372783</v>
      </c>
      <c r="AE17" s="124">
        <f ca="1">expenses/(AD17)</f>
        <v>43761.840766988636</v>
      </c>
      <c r="AF17" s="125">
        <f ca="1">+AE17-Revenue</f>
        <v>24846.330766988627</v>
      </c>
      <c r="AG17" s="126">
        <f ca="1">+AF17/$J$49</f>
        <v>27583.083704897093</v>
      </c>
      <c r="AH17" s="126">
        <f ca="1">+AG17*$J$47</f>
        <v>554.41998246843161</v>
      </c>
      <c r="AI17" s="124">
        <f t="shared" ref="AI17:AI19" ca="1" si="8">ROUND(+AH17+AE17,5)</f>
        <v>44316.260750000001</v>
      </c>
    </row>
    <row r="18" spans="1:35" ht="15.75">
      <c r="A18" s="43"/>
      <c r="B18" s="682" t="s">
        <v>127</v>
      </c>
      <c r="C18" s="682"/>
      <c r="D18" s="43"/>
      <c r="E18" s="43"/>
      <c r="F18" s="142">
        <f t="shared" si="6"/>
        <v>12</v>
      </c>
      <c r="G18" s="72"/>
      <c r="H18" s="189" t="s">
        <v>83</v>
      </c>
      <c r="I18" s="190"/>
      <c r="J18" s="190"/>
      <c r="K18" s="190"/>
      <c r="L18" s="190"/>
      <c r="M18" s="191"/>
      <c r="N18" s="173"/>
      <c r="O18" s="43"/>
      <c r="P18" s="43"/>
      <c r="R18" s="5">
        <v>3</v>
      </c>
      <c r="S18" s="123">
        <f ca="1">AI13/Investment*100</f>
        <v>267.6394752332136</v>
      </c>
      <c r="T18" s="6">
        <f ca="1">EXP(y_inter3-(slope*LN(S18)))</f>
        <v>6.5340714718407558</v>
      </c>
      <c r="U18" s="4">
        <f ca="1">(+S18*T18/100)/100</f>
        <v>0.17487754598597716</v>
      </c>
      <c r="V18" s="4">
        <f>regDebt_weighted</f>
        <v>3.5860000000000003E-2</v>
      </c>
      <c r="W18" s="4">
        <f ca="1">+U18-V18</f>
        <v>0.13901754598597715</v>
      </c>
      <c r="X18" s="4">
        <f ca="1">+((W18*(1-0.34))-Pfd_weighted)/Equity_percent</f>
        <v>0.24872552427542124</v>
      </c>
      <c r="Y18" s="4">
        <f ca="1">+X18*equityP</f>
        <v>0.14923531456525274</v>
      </c>
      <c r="Z18" s="4">
        <f ca="1">+Y18/(1-taxrate)</f>
        <v>0.18890546147500345</v>
      </c>
      <c r="AA18" s="4">
        <f>debtP*Debt_Rate</f>
        <v>2.6000000000000002E-2</v>
      </c>
      <c r="AB18" s="4">
        <f ca="1">+AA18+Z18</f>
        <v>0.21490546147500345</v>
      </c>
      <c r="AC18" s="4">
        <f ca="1">+AB18/(S18/100)</f>
        <v>8.0296623391501121E-2</v>
      </c>
      <c r="AD18" s="4">
        <f ca="1">1-AC18</f>
        <v>0.91970337660849888</v>
      </c>
      <c r="AE18" s="124">
        <f ca="1">expenses/(AD18)</f>
        <v>43719.717142924084</v>
      </c>
      <c r="AF18" s="125">
        <f ca="1">+AE18-Revenue</f>
        <v>24804.207142924075</v>
      </c>
      <c r="AG18" s="126">
        <f ca="1">+AF18/$J$49</f>
        <v>27536.320282988945</v>
      </c>
      <c r="AH18" s="126">
        <f ca="1">+AG18*$J$47</f>
        <v>553.4800376880778</v>
      </c>
      <c r="AI18" s="124">
        <f t="shared" ca="1" si="8"/>
        <v>44273.197180000003</v>
      </c>
    </row>
    <row r="19" spans="1:35" ht="15.75">
      <c r="A19" s="43"/>
      <c r="B19" s="43"/>
      <c r="C19" s="43"/>
      <c r="D19" s="43"/>
      <c r="E19" s="43"/>
      <c r="F19" s="142">
        <f t="shared" si="6"/>
        <v>13</v>
      </c>
      <c r="G19" s="72"/>
      <c r="H19" s="192"/>
      <c r="I19" s="174" t="s">
        <v>124</v>
      </c>
      <c r="J19" s="175">
        <f>+Revenue</f>
        <v>18915.510000000009</v>
      </c>
      <c r="K19" s="176"/>
      <c r="L19" s="174" t="s">
        <v>136</v>
      </c>
      <c r="M19" s="193">
        <f ca="1">+J7</f>
        <v>24795.812651558619</v>
      </c>
      <c r="O19" s="43"/>
      <c r="P19" s="43"/>
      <c r="R19" s="7">
        <v>4</v>
      </c>
      <c r="S19" s="123">
        <f ca="1">AI14/Investment*100</f>
        <v>267.47281377838482</v>
      </c>
      <c r="T19" s="8">
        <f ca="1">EXP(y_inter4-(slope*LN(S19)))</f>
        <v>6.495801931140206</v>
      </c>
      <c r="U19" s="4">
        <f ca="1">(+S19*T19/100)/100</f>
        <v>0.17374504202691368</v>
      </c>
      <c r="V19" s="4">
        <f>regDebt_weighted</f>
        <v>3.5860000000000003E-2</v>
      </c>
      <c r="W19" s="4">
        <f ca="1">+U19-V19</f>
        <v>0.13788504202691368</v>
      </c>
      <c r="X19" s="4">
        <f ca="1">+((W19*(1-0.34))-Pfd_weighted)/Equity_percent</f>
        <v>0.24655269691210183</v>
      </c>
      <c r="Y19" s="4">
        <f ca="1">+X19*equityP</f>
        <v>0.14793161814726108</v>
      </c>
      <c r="Z19" s="4">
        <f ca="1">+Y19/(1-taxrate)</f>
        <v>0.18725521284463426</v>
      </c>
      <c r="AA19" s="4">
        <f>debtP*Debt_Rate</f>
        <v>2.6000000000000002E-2</v>
      </c>
      <c r="AB19" s="4">
        <f ca="1">+AA19+Z19</f>
        <v>0.21325521284463425</v>
      </c>
      <c r="AC19" s="4">
        <f ca="1">+AB19/(S19/100)</f>
        <v>7.972967788095553E-2</v>
      </c>
      <c r="AD19" s="4">
        <f ca="1">1-AC19</f>
        <v>0.92027032211904447</v>
      </c>
      <c r="AE19" s="124">
        <f ca="1">expenses/(AD19)</f>
        <v>43692.782994597503</v>
      </c>
      <c r="AF19" s="125">
        <f ca="1">+AE19-Revenue</f>
        <v>24777.272994597493</v>
      </c>
      <c r="AG19" s="126">
        <f ca="1">+AF19/$J$49</f>
        <v>27506.41941453559</v>
      </c>
      <c r="AH19" s="126">
        <f ca="1">+AG19*$J$47</f>
        <v>552.87903023216541</v>
      </c>
      <c r="AI19" s="124">
        <f t="shared" ca="1" si="8"/>
        <v>44245.662020000003</v>
      </c>
    </row>
    <row r="20" spans="1:35" ht="15.75">
      <c r="A20" s="43"/>
      <c r="B20" s="115"/>
      <c r="C20" s="43"/>
      <c r="D20" s="43"/>
      <c r="E20" s="43"/>
      <c r="F20" s="142">
        <f t="shared" si="6"/>
        <v>14</v>
      </c>
      <c r="G20" s="72"/>
      <c r="H20" s="192"/>
      <c r="I20" s="174" t="s">
        <v>42</v>
      </c>
      <c r="J20" s="175">
        <f ca="1">+J21-J19</f>
        <v>25349.105374918508</v>
      </c>
      <c r="K20" s="176"/>
      <c r="L20" s="174" t="s">
        <v>41</v>
      </c>
      <c r="M20" s="193">
        <f ca="1">+L8</f>
        <v>553.29272335988571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6"/>
        <v>15</v>
      </c>
      <c r="G21" s="72"/>
      <c r="H21" s="192"/>
      <c r="I21" s="194" t="s">
        <v>83</v>
      </c>
      <c r="J21" s="195">
        <f ca="1">+M7</f>
        <v>44264.615374918518</v>
      </c>
      <c r="K21" s="177"/>
      <c r="L21" s="194" t="s">
        <v>42</v>
      </c>
      <c r="M21" s="196">
        <f ca="1">+M19+M20</f>
        <v>25349.105374918505</v>
      </c>
      <c r="O21" s="43"/>
      <c r="P21" s="43"/>
      <c r="R21" s="3">
        <v>1</v>
      </c>
      <c r="S21" s="117">
        <f ca="1">AI16/Investment*100</f>
        <v>269.30856397289858</v>
      </c>
      <c r="T21" s="118">
        <f ca="1">EXP(y_inter1-(slope*LN(+S21)))</f>
        <v>6.6650662779059466</v>
      </c>
      <c r="U21" s="119">
        <f ca="1">(+S21*T21/100)/100</f>
        <v>0.17949594280870426</v>
      </c>
      <c r="V21" s="119">
        <f>regDebt_weighted</f>
        <v>3.5860000000000003E-2</v>
      </c>
      <c r="W21" s="119">
        <f ca="1">+U21-V21</f>
        <v>0.14363594280870426</v>
      </c>
      <c r="X21" s="119">
        <f ca="1">+((W21*(1-0.34))-Pfd_weighted)/Equity_percent</f>
        <v>0.25758640190042098</v>
      </c>
      <c r="Y21" s="119">
        <f ca="1">+X21*equityP</f>
        <v>0.15455184114025258</v>
      </c>
      <c r="Z21" s="119">
        <f ca="1">+Y21/(1-taxrate)</f>
        <v>0.19563524194968682</v>
      </c>
      <c r="AA21" s="119">
        <f>debtP*Debt_Rate</f>
        <v>2.6000000000000002E-2</v>
      </c>
      <c r="AB21" s="119">
        <f ca="1">+AA21+Z21</f>
        <v>0.22163524194968681</v>
      </c>
      <c r="AC21" s="119">
        <f ca="1">+AB21/(S21/100)</f>
        <v>8.2297881166523437E-2</v>
      </c>
      <c r="AD21" s="119">
        <f ca="1">1-AC21</f>
        <v>0.91770211883347652</v>
      </c>
      <c r="AE21" s="120">
        <f ca="1">expenses/(AD21)</f>
        <v>43815.05790988807</v>
      </c>
      <c r="AF21" s="121">
        <f ca="1">+AE21-Revenue</f>
        <v>24899.547909888061</v>
      </c>
      <c r="AG21" s="122">
        <f ca="1">+AF21/$J$49</f>
        <v>27642.162565308983</v>
      </c>
      <c r="AH21" s="122">
        <f ca="1">+AG21*$J$47</f>
        <v>555.60746756271055</v>
      </c>
      <c r="AI21" s="120">
        <f ca="1">ROUND(+AH21+AE21,5)</f>
        <v>44370.665379999999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6"/>
        <v>16</v>
      </c>
      <c r="G22" s="72"/>
      <c r="H22" s="197"/>
      <c r="I22" s="198"/>
      <c r="J22" s="198"/>
      <c r="K22" s="198"/>
      <c r="L22" s="198"/>
      <c r="M22" s="199"/>
      <c r="O22" s="43"/>
      <c r="P22" s="43"/>
      <c r="R22" s="35">
        <v>2</v>
      </c>
      <c r="S22" s="123">
        <f ca="1">AI17/Investment*100</f>
        <v>268.92039117759015</v>
      </c>
      <c r="T22" s="34">
        <f ca="1">EXP(y_inter2-(slope*LN(+S22)))</f>
        <v>6.5767192633194052</v>
      </c>
      <c r="U22" s="4">
        <f ca="1">(+S22*T22/100)/100</f>
        <v>0.17686139169570469</v>
      </c>
      <c r="V22" s="4">
        <f>regDebt_weighted</f>
        <v>3.5860000000000003E-2</v>
      </c>
      <c r="W22" s="4">
        <f ca="1">+U22-V22</f>
        <v>0.14100139169570469</v>
      </c>
      <c r="X22" s="4">
        <f ca="1">+((W22*(1-0.34))-Pfd_weighted)/Equity_percent</f>
        <v>0.2525317398812939</v>
      </c>
      <c r="Y22" s="4">
        <f ca="1">+X22*equityP</f>
        <v>0.15151904392877633</v>
      </c>
      <c r="Z22" s="4">
        <f ca="1">+Y22/(1-taxrate)</f>
        <v>0.19179625813769155</v>
      </c>
      <c r="AA22" s="4">
        <f>debtP*Debt_Rate</f>
        <v>2.6000000000000002E-2</v>
      </c>
      <c r="AB22" s="4">
        <f ca="1">+AA22+Z22</f>
        <v>0.21779625813769155</v>
      </c>
      <c r="AC22" s="4">
        <f ca="1">+AB22/(S22/100)</f>
        <v>8.0989119933959505E-2</v>
      </c>
      <c r="AD22" s="4">
        <f ca="1">1-AC22</f>
        <v>0.91901088006604048</v>
      </c>
      <c r="AE22" s="124">
        <f ca="1">expenses/(AD22)</f>
        <v>43752.660988982316</v>
      </c>
      <c r="AF22" s="125">
        <f ca="1">+AE22-Revenue</f>
        <v>24837.150988982306</v>
      </c>
      <c r="AG22" s="126">
        <f ca="1">+AF22/$J$49</f>
        <v>27572.89280035206</v>
      </c>
      <c r="AH22" s="126">
        <f ca="1">+AG22*$J$47</f>
        <v>554.21514528707644</v>
      </c>
      <c r="AI22" s="124">
        <f t="shared" ref="AI22:AI24" ca="1" si="9">ROUND(+AH22+AE22,5)</f>
        <v>44306.876129999997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6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268.65907237735939</v>
      </c>
      <c r="T23" s="6">
        <f ca="1">EXP(y_inter3-(slope*LN(S23)))</f>
        <v>6.5171078513355685</v>
      </c>
      <c r="U23" s="4">
        <f ca="1">(+S23*T23/100)/100</f>
        <v>0.17508801499230195</v>
      </c>
      <c r="V23" s="4">
        <f>regDebt_weighted</f>
        <v>3.5860000000000003E-2</v>
      </c>
      <c r="W23" s="4">
        <f ca="1">+U23-V23</f>
        <v>0.13922801499230195</v>
      </c>
      <c r="X23" s="4">
        <f ca="1">+((W23*(1-0.34))-Pfd_weighted)/Equity_percent</f>
        <v>0.24912933108988161</v>
      </c>
      <c r="Y23" s="4">
        <f ca="1">+X23*equityP</f>
        <v>0.14947759865392896</v>
      </c>
      <c r="Z23" s="4">
        <f ca="1">+Y23/(1-taxrate)</f>
        <v>0.18921215019484677</v>
      </c>
      <c r="AA23" s="4">
        <f>debtP*Debt_Rate</f>
        <v>2.6000000000000002E-2</v>
      </c>
      <c r="AB23" s="4">
        <f ca="1">+AA23+Z23</f>
        <v>0.21521215019484677</v>
      </c>
      <c r="AC23" s="4">
        <f ca="1">+AB23/(S23/100)</f>
        <v>8.0106042312451345E-2</v>
      </c>
      <c r="AD23" s="4">
        <f ca="1">1-AC23</f>
        <v>0.91989395768754867</v>
      </c>
      <c r="AE23" s="124">
        <f ca="1">expenses/(AD23)</f>
        <v>43710.6594131725</v>
      </c>
      <c r="AF23" s="125">
        <f ca="1">+AE23-Revenue</f>
        <v>24795.14941317249</v>
      </c>
      <c r="AG23" s="126">
        <f ca="1">+AF23/$J$49</f>
        <v>27526.264869968112</v>
      </c>
      <c r="AH23" s="126">
        <f ca="1">+AG23*$J$47</f>
        <v>553.27792388635908</v>
      </c>
      <c r="AI23" s="124">
        <f t="shared" ca="1" si="9"/>
        <v>44263.937339999997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6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268.4919832350667</v>
      </c>
      <c r="T24" s="8">
        <f ca="1">EXP(y_inter4-(slope*LN(S24)))</f>
        <v>6.4789342465251325</v>
      </c>
      <c r="U24" s="4">
        <f ca="1">(+S24*T24/100)/100</f>
        <v>0.17395419050991254</v>
      </c>
      <c r="V24" s="4">
        <f>regDebt_weighted</f>
        <v>3.5860000000000003E-2</v>
      </c>
      <c r="W24" s="4">
        <f ca="1">+U24-V24</f>
        <v>0.13809419050991253</v>
      </c>
      <c r="X24" s="4">
        <f ca="1">+((W24*(1-0.34))-Pfd_weighted)/Equity_percent</f>
        <v>0.24695397016436704</v>
      </c>
      <c r="Y24" s="4">
        <f ca="1">+X24*equityP</f>
        <v>0.14817238209862021</v>
      </c>
      <c r="Z24" s="4">
        <f ca="1">+Y24/(1-taxrate)</f>
        <v>0.18755997734002558</v>
      </c>
      <c r="AA24" s="4">
        <f>debtP*Debt_Rate</f>
        <v>2.6000000000000002E-2</v>
      </c>
      <c r="AB24" s="4">
        <f ca="1">+AA24+Z24</f>
        <v>0.21355997734002558</v>
      </c>
      <c r="AC24" s="4">
        <f ca="1">+AB24/(S24/100)</f>
        <v>7.954054149656016E-2</v>
      </c>
      <c r="AD24" s="4">
        <f ca="1">1-AC24</f>
        <v>0.9204594585034398</v>
      </c>
      <c r="AE24" s="124">
        <f ca="1">expenses/(AD24)</f>
        <v>43683.804983753653</v>
      </c>
      <c r="AF24" s="125">
        <f ca="1">+AE24-Revenue</f>
        <v>24768.294983753643</v>
      </c>
      <c r="AG24" s="126">
        <f ca="1">+AF24/$J$49</f>
        <v>27496.452501234315</v>
      </c>
      <c r="AH24" s="126">
        <f ca="1">+AG24*$J$47</f>
        <v>552.67869527480968</v>
      </c>
      <c r="AI24" s="124">
        <f t="shared" ca="1" si="9"/>
        <v>44236.483679999998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6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6"/>
        <v>20</v>
      </c>
      <c r="H26" s="79" t="s">
        <v>27</v>
      </c>
      <c r="I26" s="88">
        <f>1-I27</f>
        <v>0.6</v>
      </c>
      <c r="J26" s="87">
        <f>+I26*J28</f>
        <v>9887.5939952209155</v>
      </c>
      <c r="K26" s="83">
        <f ca="1">+K34</f>
        <v>0.24558190041343364</v>
      </c>
      <c r="L26" s="88">
        <f ca="1">+K26*I26</f>
        <v>0.14734914024806017</v>
      </c>
      <c r="M26" s="80">
        <f ca="1">+J26*K26</f>
        <v>2428.2141238628074</v>
      </c>
      <c r="O26" s="43"/>
      <c r="P26" s="43"/>
      <c r="R26" s="3">
        <v>1</v>
      </c>
      <c r="S26" s="117">
        <f ca="1">AI21/Investment*100</f>
        <v>269.25052991524234</v>
      </c>
      <c r="T26" s="118">
        <f ca="1">EXP(y_inter1-(slope*LN(+S26)))</f>
        <v>6.6660483933972809</v>
      </c>
      <c r="U26" s="119">
        <f ca="1">(+S26*T26/100)/100</f>
        <v>0.17948370623628676</v>
      </c>
      <c r="V26" s="119">
        <f>regDebt_weighted</f>
        <v>3.5860000000000003E-2</v>
      </c>
      <c r="W26" s="119">
        <f ca="1">+U26-V26</f>
        <v>0.14362370623628676</v>
      </c>
      <c r="X26" s="119">
        <f ca="1">+((W26*(1-0.34))-Pfd_weighted)/Equity_percent</f>
        <v>0.25756292475566644</v>
      </c>
      <c r="Y26" s="119">
        <f ca="1">+X26*equityP</f>
        <v>0.15453775485339985</v>
      </c>
      <c r="Z26" s="119">
        <f ca="1">+Y26/(1-taxrate)</f>
        <v>0.19561741120683523</v>
      </c>
      <c r="AA26" s="119">
        <f>debtP*Debt_Rate</f>
        <v>2.6000000000000002E-2</v>
      </c>
      <c r="AB26" s="119">
        <f ca="1">+AA26+Z26</f>
        <v>0.22161741120683523</v>
      </c>
      <c r="AC26" s="119">
        <f ca="1">+AB26/(S26/100)</f>
        <v>8.2308997228937086E-2</v>
      </c>
      <c r="AD26" s="119">
        <f ca="1">1-AC26</f>
        <v>0.91769100277106297</v>
      </c>
      <c r="AE26" s="120">
        <f ca="1">expenses/(AD26)</f>
        <v>43815.588645088596</v>
      </c>
      <c r="AF26" s="121">
        <f ca="1">+AE26-Revenue</f>
        <v>24900.078645088586</v>
      </c>
      <c r="AG26" s="122">
        <f ca="1">+AF26/$J$49</f>
        <v>27642.751759488139</v>
      </c>
      <c r="AH26" s="122">
        <f ca="1">+AG26*$J$47</f>
        <v>555.61931036571161</v>
      </c>
      <c r="AI26" s="120">
        <f ca="1">ROUND(+AH26+AE26,5)</f>
        <v>44371.20796</v>
      </c>
    </row>
    <row r="27" spans="1:35" ht="15.75">
      <c r="A27" s="43"/>
      <c r="B27" s="43"/>
      <c r="C27" s="43"/>
      <c r="D27" s="43"/>
      <c r="E27" s="43"/>
      <c r="F27" s="142">
        <f t="shared" si="6"/>
        <v>21</v>
      </c>
      <c r="H27" s="79" t="s">
        <v>29</v>
      </c>
      <c r="I27" s="88">
        <f>IF(A65=TRUE,C8,0)</f>
        <v>0.4</v>
      </c>
      <c r="J27" s="90">
        <f>+I27*J28</f>
        <v>6591.7293301472782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428.46240645957312</v>
      </c>
      <c r="O27" s="43"/>
      <c r="P27" s="43"/>
      <c r="R27" s="35">
        <v>2</v>
      </c>
      <c r="S27" s="123">
        <f ca="1">AI22/Investment*100</f>
        <v>268.86344332958259</v>
      </c>
      <c r="T27" s="34">
        <f ca="1">EXP(y_inter2-(slope*LN(+S27)))</f>
        <v>6.5776715919469666</v>
      </c>
      <c r="U27" s="4">
        <f ca="1">(+S27*T27/100)/100</f>
        <v>0.17684954333020386</v>
      </c>
      <c r="V27" s="4">
        <f>regDebt_weighted</f>
        <v>3.5860000000000003E-2</v>
      </c>
      <c r="W27" s="4">
        <f ca="1">+U27-V27</f>
        <v>0.14098954333020386</v>
      </c>
      <c r="X27" s="4">
        <f ca="1">+((W27*(1-0.34))-Pfd_weighted)/Equity_percent</f>
        <v>0.25250900755213529</v>
      </c>
      <c r="Y27" s="4">
        <f ca="1">+X27*equityP</f>
        <v>0.15150540453128117</v>
      </c>
      <c r="Z27" s="4">
        <f ca="1">+Y27/(1-taxrate)</f>
        <v>0.1917789930775711</v>
      </c>
      <c r="AA27" s="4">
        <f>debtP*Debt_Rate</f>
        <v>2.6000000000000002E-2</v>
      </c>
      <c r="AB27" s="4">
        <f ca="1">+AA27+Z27</f>
        <v>0.21777899307757109</v>
      </c>
      <c r="AC27" s="4">
        <f ca="1">+AB27/(S27/100)</f>
        <v>8.0999852706122519E-2</v>
      </c>
      <c r="AD27" s="4">
        <f ca="1">1-AC27</f>
        <v>0.91900014729387747</v>
      </c>
      <c r="AE27" s="124">
        <f ca="1">expenses/(AD27)</f>
        <v>43753.171965333408</v>
      </c>
      <c r="AF27" s="125">
        <f ca="1">+AE27-Revenue</f>
        <v>24837.661965333398</v>
      </c>
      <c r="AG27" s="126">
        <f ca="1">+AF27/$J$49</f>
        <v>27573.460059300498</v>
      </c>
      <c r="AH27" s="126">
        <f ca="1">+AG27*$J$47</f>
        <v>554.22654719193997</v>
      </c>
      <c r="AI27" s="124">
        <f t="shared" ref="AI27:AI29" ca="1" si="10">ROUND(+AH27+AE27,5)</f>
        <v>44307.398509999999</v>
      </c>
    </row>
    <row r="28" spans="1:35" ht="16.5" thickBot="1">
      <c r="A28" s="43"/>
      <c r="B28" s="43"/>
      <c r="C28" s="43"/>
      <c r="D28" s="43"/>
      <c r="E28" s="43"/>
      <c r="F28" s="142">
        <f t="shared" si="6"/>
        <v>22</v>
      </c>
      <c r="H28" s="79" t="s">
        <v>103</v>
      </c>
      <c r="I28" s="91">
        <f>SUM(I26:I27)</f>
        <v>1</v>
      </c>
      <c r="J28" s="136">
        <f>IF(A65=TRUE,C7,0)</f>
        <v>16479.323325368194</v>
      </c>
      <c r="K28" s="144"/>
      <c r="L28" s="143">
        <f ca="1">SUM(L26:L27)</f>
        <v>0.17334914024806017</v>
      </c>
      <c r="M28" s="136">
        <f ca="1">SUM(M26:M27)</f>
        <v>2856.6765303223806</v>
      </c>
      <c r="O28" s="43"/>
      <c r="P28" s="43"/>
      <c r="R28" s="5">
        <v>3</v>
      </c>
      <c r="S28" s="123">
        <f ca="1">AI23/Investment*100</f>
        <v>268.60288172063656</v>
      </c>
      <c r="T28" s="6">
        <f ca="1">EXP(y_inter3-(slope*LN(S28)))</f>
        <v>6.5180399041085</v>
      </c>
      <c r="U28" s="4">
        <f ca="1">(+S28*T28/100)/100</f>
        <v>0.17507643014136448</v>
      </c>
      <c r="V28" s="4">
        <f>regDebt_weighted</f>
        <v>3.5860000000000003E-2</v>
      </c>
      <c r="W28" s="4">
        <f ca="1">+U28-V28</f>
        <v>0.13921643014136448</v>
      </c>
      <c r="X28" s="4">
        <f ca="1">+((W28*(1-0.34))-Pfd_weighted)/Equity_percent</f>
        <v>0.24910710434098998</v>
      </c>
      <c r="Y28" s="4">
        <f ca="1">+X28*equityP</f>
        <v>0.14946426260459397</v>
      </c>
      <c r="Z28" s="4">
        <f ca="1">+Y28/(1-taxrate)</f>
        <v>0.18919526911973919</v>
      </c>
      <c r="AA28" s="4">
        <f>debtP*Debt_Rate</f>
        <v>2.6000000000000002E-2</v>
      </c>
      <c r="AB28" s="4">
        <f ca="1">+AA28+Z28</f>
        <v>0.21519526911973919</v>
      </c>
      <c r="AC28" s="4">
        <f ca="1">+AB28/(S28/100)</f>
        <v>8.0116515407885849E-2</v>
      </c>
      <c r="AD28" s="4">
        <f ca="1">1-AC28</f>
        <v>0.91988348459211411</v>
      </c>
      <c r="AE28" s="124">
        <f ca="1">expenses/(AD28)</f>
        <v>43711.157069577042</v>
      </c>
      <c r="AF28" s="125">
        <f ca="1">+AE28-Revenue</f>
        <v>24795.647069577033</v>
      </c>
      <c r="AG28" s="126">
        <f ca="1">+AF28/$J$49</f>
        <v>27526.817341815626</v>
      </c>
      <c r="AH28" s="126">
        <f ca="1">+AG28*$J$47</f>
        <v>553.28902857049411</v>
      </c>
      <c r="AI28" s="124">
        <f t="shared" ca="1" si="10"/>
        <v>44264.446100000001</v>
      </c>
    </row>
    <row r="29" spans="1:35" ht="16.5" thickTop="1">
      <c r="A29" s="43"/>
      <c r="B29" s="43"/>
      <c r="C29" s="43"/>
      <c r="D29" s="43"/>
      <c r="E29" s="43"/>
      <c r="F29" s="142">
        <f t="shared" si="6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268.43628713748558</v>
      </c>
      <c r="T29" s="8">
        <f ca="1">EXP(y_inter4-(slope*LN(S29)))</f>
        <v>6.4798532547285337</v>
      </c>
      <c r="U29" s="4">
        <f ca="1">(+S29*T29/100)/100</f>
        <v>0.17394277488950791</v>
      </c>
      <c r="V29" s="4">
        <f>regDebt_weighted</f>
        <v>3.5860000000000003E-2</v>
      </c>
      <c r="W29" s="4">
        <f ca="1">+U29-V29</f>
        <v>0.1380827748895079</v>
      </c>
      <c r="X29" s="4">
        <f ca="1">+((W29*(1-0.34))-Pfd_weighted)/Equity_percent</f>
        <v>0.2469320681019628</v>
      </c>
      <c r="Y29" s="4">
        <f ca="1">+X29*equityP</f>
        <v>0.14815924086117768</v>
      </c>
      <c r="Z29" s="4">
        <f ca="1">+Y29/(1-taxrate)</f>
        <v>0.18754334286225022</v>
      </c>
      <c r="AA29" s="4">
        <f>debtP*Debt_Rate</f>
        <v>2.6000000000000002E-2</v>
      </c>
      <c r="AB29" s="4">
        <f ca="1">+AA29+Z29</f>
        <v>0.21354334286225021</v>
      </c>
      <c r="AC29" s="4">
        <f ca="1">+AB29/(S29/100)</f>
        <v>7.9550848038990818E-2</v>
      </c>
      <c r="AD29" s="4">
        <f ca="1">1-AC29</f>
        <v>0.92044915196100918</v>
      </c>
      <c r="AE29" s="124">
        <f ca="1">expenses/(AD29)</f>
        <v>43684.294124287531</v>
      </c>
      <c r="AF29" s="125">
        <f ca="1">+AE29-Revenue</f>
        <v>24768.784124287522</v>
      </c>
      <c r="AG29" s="126">
        <f ca="1">+AF29/$J$49</f>
        <v>27496.995519212142</v>
      </c>
      <c r="AH29" s="126">
        <f ca="1">+AG29*$J$47</f>
        <v>552.68960993616406</v>
      </c>
      <c r="AI29" s="124">
        <f t="shared" ca="1" si="10"/>
        <v>44236.98373</v>
      </c>
    </row>
    <row r="30" spans="1:35" ht="15.75">
      <c r="A30" s="43"/>
      <c r="B30" s="43"/>
      <c r="C30" s="43"/>
      <c r="D30" s="43"/>
      <c r="E30" s="43"/>
      <c r="F30" s="142">
        <f t="shared" si="6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6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269.25382240480207</v>
      </c>
      <c r="T31" s="118">
        <f ca="1">EXP(y_inter1-(slope*LN(+S31)))</f>
        <v>6.6659926647688676</v>
      </c>
      <c r="U31" s="119">
        <f ca="1">(+S31*T31/100)/100</f>
        <v>0.17948440051113901</v>
      </c>
      <c r="V31" s="119">
        <f>regDebt_weighted</f>
        <v>3.5860000000000003E-2</v>
      </c>
      <c r="W31" s="119">
        <f ca="1">+U31-V31</f>
        <v>0.14362440051113901</v>
      </c>
      <c r="X31" s="119">
        <f ca="1">+((W31*(1-0.34))-Pfd_weighted)/Equity_percent</f>
        <v>0.25756425679462713</v>
      </c>
      <c r="Y31" s="119">
        <f ca="1">+X31*equityP</f>
        <v>0.15453855407677627</v>
      </c>
      <c r="Z31" s="119">
        <f ca="1">+Y31/(1-taxrate)</f>
        <v>0.19561842288199527</v>
      </c>
      <c r="AA31" s="119">
        <f>debtP*Debt_Rate</f>
        <v>2.6000000000000002E-2</v>
      </c>
      <c r="AB31" s="119">
        <f ca="1">+AA31+Z31</f>
        <v>0.22161842288199526</v>
      </c>
      <c r="AC31" s="119">
        <f ca="1">+AB31/(S31/100)</f>
        <v>8.2308366470953687E-2</v>
      </c>
      <c r="AD31" s="119">
        <f ca="1">1-AC31</f>
        <v>0.91769163352904637</v>
      </c>
      <c r="AE31" s="120">
        <f ca="1">expenses/(AD31)</f>
        <v>43815.558529272646</v>
      </c>
      <c r="AF31" s="121">
        <f ca="1">+AE31-Revenue</f>
        <v>24900.048529272637</v>
      </c>
      <c r="AG31" s="122">
        <f ca="1">+AF31/$J$49</f>
        <v>27642.718326500388</v>
      </c>
      <c r="AH31" s="122">
        <f ca="1">+AG31*$J$47</f>
        <v>555.61863836265775</v>
      </c>
      <c r="AI31" s="120">
        <f ca="1">ROUND(+AH31+AE31,5)</f>
        <v>44371.177170000003</v>
      </c>
    </row>
    <row r="32" spans="1:35" ht="15.75">
      <c r="A32" s="43"/>
      <c r="B32" s="43"/>
      <c r="C32" s="43"/>
      <c r="D32" s="43"/>
      <c r="E32" s="43"/>
      <c r="F32" s="142">
        <f t="shared" si="6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268.86661324129369</v>
      </c>
      <c r="T32" s="34">
        <f ca="1">EXP(y_inter2-(slope*LN(+S32)))</f>
        <v>6.5776185731573271</v>
      </c>
      <c r="U32" s="4">
        <f ca="1">(+S32*T32/100)/100</f>
        <v>0.1768502028957841</v>
      </c>
      <c r="V32" s="4">
        <f>regDebt_weighted</f>
        <v>3.5860000000000003E-2</v>
      </c>
      <c r="W32" s="4">
        <f ca="1">+U32-V32</f>
        <v>0.14099020289578409</v>
      </c>
      <c r="X32" s="4">
        <f ca="1">+((W32*(1-0.34))-Pfd_weighted)/Equity_percent</f>
        <v>0.25251027299772533</v>
      </c>
      <c r="Y32" s="4">
        <f ca="1">+X32*equityP</f>
        <v>0.15150616379863519</v>
      </c>
      <c r="Z32" s="4">
        <f ca="1">+Y32/(1-taxrate)</f>
        <v>0.19177995417548757</v>
      </c>
      <c r="AA32" s="4">
        <f>debtP*Debt_Rate</f>
        <v>2.6000000000000002E-2</v>
      </c>
      <c r="AB32" s="4">
        <f ca="1">+AA32+Z32</f>
        <v>0.21777995417548757</v>
      </c>
      <c r="AC32" s="4">
        <f ca="1">+AB32/(S32/100)</f>
        <v>8.099925518831208E-2</v>
      </c>
      <c r="AD32" s="4">
        <f ca="1">1-AC32</f>
        <v>0.91900074481168792</v>
      </c>
      <c r="AE32" s="124">
        <f ca="1">expenses/(AD32)</f>
        <v>43753.143517805307</v>
      </c>
      <c r="AF32" s="125">
        <f ca="1">+AE32-Revenue</f>
        <v>24837.633517805298</v>
      </c>
      <c r="AG32" s="126">
        <f ca="1">+AF32/$J$49</f>
        <v>27573.428478357775</v>
      </c>
      <c r="AH32" s="126">
        <f ca="1">+AG32*$J$47</f>
        <v>554.22591241499129</v>
      </c>
      <c r="AI32" s="124">
        <f t="shared" ref="AI32:AI34" ca="1" si="11">ROUND(+AH32+AE32,5)</f>
        <v>44307.369429999999</v>
      </c>
    </row>
    <row r="33" spans="1:46" ht="15.75">
      <c r="A33" s="43"/>
      <c r="B33" s="43"/>
      <c r="C33" s="43"/>
      <c r="D33" s="43"/>
      <c r="E33" s="43"/>
      <c r="F33" s="142">
        <f t="shared" si="6"/>
        <v>27</v>
      </c>
      <c r="G33" s="72"/>
      <c r="H33" s="76" t="s">
        <v>54</v>
      </c>
      <c r="I33" s="76"/>
      <c r="J33" s="89">
        <f ca="1">+K9/J28</f>
        <v>0.21251789904817744</v>
      </c>
      <c r="K33" s="89">
        <f ca="1">+(M14+M11)/J28</f>
        <v>0.1733491402480602</v>
      </c>
      <c r="L33" s="72"/>
      <c r="M33" s="72"/>
      <c r="N33" s="72"/>
      <c r="O33" s="43"/>
      <c r="P33" s="43"/>
      <c r="R33" s="5">
        <v>3</v>
      </c>
      <c r="S33" s="123">
        <f ca="1">AI28/Investment*100</f>
        <v>268.60596898332301</v>
      </c>
      <c r="T33" s="6">
        <f ca="1">EXP(y_inter3-(slope*LN(S33)))</f>
        <v>6.5179886861513872</v>
      </c>
      <c r="U33" s="4">
        <f ca="1">(+S33*T33/100)/100</f>
        <v>0.17507706668660297</v>
      </c>
      <c r="V33" s="4">
        <f>regDebt_weighted</f>
        <v>3.5860000000000003E-2</v>
      </c>
      <c r="W33" s="4">
        <f ca="1">+U33-V33</f>
        <v>0.13921706668660297</v>
      </c>
      <c r="X33" s="4">
        <f ca="1">+((W33*(1-0.34))-Pfd_weighted)/Equity_percent</f>
        <v>0.24910832561964522</v>
      </c>
      <c r="Y33" s="4">
        <f ca="1">+X33*equityP</f>
        <v>0.14946499537178712</v>
      </c>
      <c r="Z33" s="4">
        <f ca="1">+Y33/(1-taxrate)</f>
        <v>0.18919619667314824</v>
      </c>
      <c r="AA33" s="4">
        <f>debtP*Debt_Rate</f>
        <v>2.6000000000000002E-2</v>
      </c>
      <c r="AB33" s="4">
        <f ca="1">+AA33+Z33</f>
        <v>0.21519619667314824</v>
      </c>
      <c r="AC33" s="4">
        <f ca="1">+AB33/(S33/100)</f>
        <v>8.0115939898010663E-2</v>
      </c>
      <c r="AD33" s="4">
        <f ca="1">1-AC33</f>
        <v>0.91988406010198931</v>
      </c>
      <c r="AE33" s="124">
        <f ca="1">expenses/(AD33)</f>
        <v>43711.129722432292</v>
      </c>
      <c r="AF33" s="125">
        <f ca="1">+AE33-Revenue</f>
        <v>24795.619722432282</v>
      </c>
      <c r="AG33" s="126">
        <f ca="1">+AF33/$J$49</f>
        <v>27526.786982460362</v>
      </c>
      <c r="AH33" s="126">
        <f ca="1">+AG33*$J$47</f>
        <v>553.28841834745333</v>
      </c>
      <c r="AI33" s="124">
        <f t="shared" ca="1" si="11"/>
        <v>44264.418140000002</v>
      </c>
    </row>
    <row r="34" spans="1:46" ht="15.75">
      <c r="A34" s="43"/>
      <c r="B34" s="43"/>
      <c r="C34" s="43"/>
      <c r="D34" s="43"/>
      <c r="E34" s="43"/>
      <c r="F34" s="142">
        <f t="shared" si="6"/>
        <v>28</v>
      </c>
      <c r="G34" s="72"/>
      <c r="H34" s="76" t="s">
        <v>55</v>
      </c>
      <c r="I34" s="76"/>
      <c r="J34" s="89">
        <f ca="1">+(M9-M11)/J26</f>
        <v>0.31086316508029571</v>
      </c>
      <c r="K34" s="89">
        <f ca="1">+M14/J26</f>
        <v>0.24558190041343364</v>
      </c>
      <c r="L34" s="72"/>
      <c r="M34" s="72"/>
      <c r="N34" s="72"/>
      <c r="O34" s="46"/>
      <c r="P34" s="43"/>
      <c r="R34" s="7">
        <v>4</v>
      </c>
      <c r="S34" s="123">
        <f ca="1">AI29/Investment*100</f>
        <v>268.43932154606006</v>
      </c>
      <c r="T34" s="8">
        <f ca="1">EXP(y_inter4-(slope*LN(S34)))</f>
        <v>6.479803177487379</v>
      </c>
      <c r="U34" s="4">
        <f ca="1">(+S34*T34/100)/100</f>
        <v>0.1739433968716716</v>
      </c>
      <c r="V34" s="4">
        <f>regDebt_weighted</f>
        <v>3.5860000000000003E-2</v>
      </c>
      <c r="W34" s="4">
        <f ca="1">+U34-V34</f>
        <v>0.13808339687167159</v>
      </c>
      <c r="X34" s="4">
        <f ca="1">+((W34*(1-0.34))-Pfd_weighted)/Equity_percent</f>
        <v>0.24693326143983502</v>
      </c>
      <c r="Y34" s="4">
        <f ca="1">+X34*equityP</f>
        <v>0.14815995686390102</v>
      </c>
      <c r="Z34" s="4">
        <f ca="1">+Y34/(1-taxrate)</f>
        <v>0.18754424919481141</v>
      </c>
      <c r="AA34" s="4">
        <f>debtP*Debt_Rate</f>
        <v>2.6000000000000002E-2</v>
      </c>
      <c r="AB34" s="4">
        <f ca="1">+AA34+Z34</f>
        <v>0.21354424919481141</v>
      </c>
      <c r="AC34" s="4">
        <f ca="1">+AB34/(S34/100)</f>
        <v>7.955028643527938E-2</v>
      </c>
      <c r="AD34" s="4">
        <f ca="1">1-AC34</f>
        <v>0.92044971356472061</v>
      </c>
      <c r="AE34" s="124">
        <f ca="1">expenses/(AD34)</f>
        <v>43684.267470727485</v>
      </c>
      <c r="AF34" s="125">
        <f ca="1">+AE34-Revenue</f>
        <v>24768.757470727476</v>
      </c>
      <c r="AG34" s="126">
        <f ca="1">+AF34/$J$49</f>
        <v>27496.96592983797</v>
      </c>
      <c r="AH34" s="126">
        <f ca="1">+AG34*$J$47</f>
        <v>552.68901518974315</v>
      </c>
      <c r="AI34" s="124">
        <f t="shared" ca="1" si="11"/>
        <v>44236.956489999997</v>
      </c>
    </row>
    <row r="35" spans="1:46" ht="15.75">
      <c r="A35" s="43"/>
      <c r="B35" s="43"/>
      <c r="C35" s="43"/>
      <c r="D35" s="43"/>
      <c r="E35" s="43"/>
      <c r="F35" s="142">
        <f t="shared" si="6"/>
        <v>29</v>
      </c>
      <c r="G35" s="72"/>
      <c r="H35" s="92" t="s">
        <v>31</v>
      </c>
      <c r="I35" s="76"/>
      <c r="J35" s="89">
        <f ca="1">+K8/K7</f>
        <v>0.91988000000000014</v>
      </c>
      <c r="K35" s="89">
        <f ca="1">+M8/M7</f>
        <v>0.92088147290607014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6"/>
        <v>30</v>
      </c>
      <c r="G36" s="72"/>
      <c r="H36" s="76" t="s">
        <v>56</v>
      </c>
      <c r="I36" s="76"/>
      <c r="J36" s="89">
        <f ca="1">+K9/K7</f>
        <v>8.0119999999999914E-2</v>
      </c>
      <c r="K36" s="89">
        <f ca="1">+J36</f>
        <v>8.0119999999999914E-2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269.2536355646061</v>
      </c>
      <c r="T36" s="118">
        <f ca="1">EXP(y_inter1-(slope*LN(+S36)))</f>
        <v>6.6659958271924884</v>
      </c>
      <c r="U36" s="119">
        <f ca="1">(+S36*T36/100)/100</f>
        <v>0.17948436111300711</v>
      </c>
      <c r="V36" s="119">
        <f>regDebt_weighted</f>
        <v>3.5860000000000003E-2</v>
      </c>
      <c r="W36" s="119">
        <f ca="1">+U36-V36</f>
        <v>0.14362436111300711</v>
      </c>
      <c r="X36" s="119">
        <f ca="1">+((W36*(1-0.34))-Pfd_weighted)/Equity_percent</f>
        <v>0.25756418120518804</v>
      </c>
      <c r="Y36" s="119">
        <f ca="1">+X36*equityP</f>
        <v>0.15453850872311281</v>
      </c>
      <c r="Z36" s="119">
        <f ca="1">+Y36/(1-taxrate)</f>
        <v>0.19561836547229469</v>
      </c>
      <c r="AA36" s="119">
        <f>debtP*Debt_Rate</f>
        <v>2.6000000000000002E-2</v>
      </c>
      <c r="AB36" s="119">
        <f ca="1">+AA36+Z36</f>
        <v>0.22161836547229469</v>
      </c>
      <c r="AC36" s="119">
        <f ca="1">+AB36/(S36/100)</f>
        <v>8.2308402264495484E-2</v>
      </c>
      <c r="AD36" s="119">
        <f ca="1">1-AC36</f>
        <v>0.91769159773550446</v>
      </c>
      <c r="AE36" s="120">
        <f ca="1">expenses/(AD36)</f>
        <v>43815.560238249862</v>
      </c>
      <c r="AF36" s="121">
        <f ca="1">+AE36-Revenue</f>
        <v>24900.050238249853</v>
      </c>
      <c r="AG36" s="122">
        <f ca="1">+AF36/$J$49</f>
        <v>27642.720223716602</v>
      </c>
      <c r="AH36" s="122">
        <f ca="1">+AG36*$J$47</f>
        <v>555.61867649670364</v>
      </c>
      <c r="AI36" s="120">
        <f ca="1">ROUND(+AH36+AE36,5)</f>
        <v>44371.178910000002</v>
      </c>
    </row>
    <row r="37" spans="1:46" ht="15.75">
      <c r="A37" s="43"/>
      <c r="B37" s="43"/>
      <c r="C37" s="43"/>
      <c r="D37" s="43"/>
      <c r="E37" s="43"/>
      <c r="F37" s="142">
        <f t="shared" si="6"/>
        <v>31</v>
      </c>
      <c r="G37" s="72"/>
      <c r="H37" s="76" t="s">
        <v>57</v>
      </c>
      <c r="I37" s="74"/>
      <c r="J37" s="93">
        <f ca="1">+S39/100</f>
        <v>2.6843915624801071</v>
      </c>
      <c r="K37" s="93">
        <f ca="1">+J37</f>
        <v>2.6843915624801071</v>
      </c>
      <c r="L37" s="72"/>
      <c r="M37" s="72"/>
      <c r="N37" s="72"/>
      <c r="O37" s="43"/>
      <c r="P37" s="43"/>
      <c r="R37" s="35">
        <v>2</v>
      </c>
      <c r="S37" s="123">
        <f ca="1">AI32/Investment*100</f>
        <v>268.86643677773736</v>
      </c>
      <c r="T37" s="34">
        <f ca="1">EXP(y_inter2-(slope*LN(+S37)))</f>
        <v>6.5776215245948846</v>
      </c>
      <c r="U37" s="4">
        <f ca="1">(+S37*T37/100)/100</f>
        <v>0.17685016617903748</v>
      </c>
      <c r="V37" s="4">
        <f>regDebt_weighted</f>
        <v>3.5860000000000003E-2</v>
      </c>
      <c r="W37" s="4">
        <f ca="1">+U37-V37</f>
        <v>0.14099016617903748</v>
      </c>
      <c r="X37" s="4">
        <f ca="1">+((W37*(1-0.34))-Pfd_weighted)/Equity_percent</f>
        <v>0.25251020255280443</v>
      </c>
      <c r="Y37" s="4">
        <f ca="1">+X37*equityP</f>
        <v>0.15150612153168266</v>
      </c>
      <c r="Z37" s="4">
        <f ca="1">+Y37/(1-taxrate)</f>
        <v>0.19177990067301603</v>
      </c>
      <c r="AA37" s="4">
        <f>debtP*Debt_Rate</f>
        <v>2.6000000000000002E-2</v>
      </c>
      <c r="AB37" s="4">
        <f ca="1">+AA37+Z37</f>
        <v>0.21777990067301603</v>
      </c>
      <c r="AC37" s="4">
        <f ca="1">+AB37/(S37/100)</f>
        <v>8.0999288450810683E-2</v>
      </c>
      <c r="AD37" s="4">
        <f ca="1">1-AC37</f>
        <v>0.91900071154918928</v>
      </c>
      <c r="AE37" s="124">
        <f ca="1">expenses/(AD37)</f>
        <v>43753.145101415481</v>
      </c>
      <c r="AF37" s="125">
        <f ca="1">+AE37-Revenue</f>
        <v>24837.635101415472</v>
      </c>
      <c r="AG37" s="126">
        <f ca="1">+AF37/$J$49</f>
        <v>27573.430236398122</v>
      </c>
      <c r="AH37" s="126">
        <f ca="1">+AG37*$J$47</f>
        <v>554.22594775160223</v>
      </c>
      <c r="AI37" s="124">
        <f t="shared" ref="AI37:AI39" ca="1" si="12">ROUND(+AH37+AE37,5)</f>
        <v>44307.371050000002</v>
      </c>
    </row>
    <row r="38" spans="1:46" ht="15.75">
      <c r="A38" s="43"/>
      <c r="B38" s="43"/>
      <c r="C38" s="43"/>
      <c r="D38" s="43"/>
      <c r="E38" s="43"/>
      <c r="F38" s="142">
        <f t="shared" si="6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268.60579931616223</v>
      </c>
      <c r="T38" s="6">
        <f ca="1">EXP(y_inter3-(slope*LN(S38)))</f>
        <v>6.5179915009186358</v>
      </c>
      <c r="U38" s="4">
        <f ca="1">(+S38*T38/100)/100</f>
        <v>0.1750770317040202</v>
      </c>
      <c r="V38" s="4">
        <f>regDebt_weighted</f>
        <v>3.5860000000000003E-2</v>
      </c>
      <c r="W38" s="4">
        <f ca="1">+U38-V38</f>
        <v>0.13921703170402019</v>
      </c>
      <c r="X38" s="4">
        <f ca="1">+((W38*(1-0.34))-Pfd_weighted)/Equity_percent</f>
        <v>0.24910825850189919</v>
      </c>
      <c r="Y38" s="4">
        <f ca="1">+X38*equityP</f>
        <v>0.1494649551011395</v>
      </c>
      <c r="Z38" s="4">
        <f ca="1">+Y38/(1-taxrate)</f>
        <v>0.18919614569764492</v>
      </c>
      <c r="AA38" s="4">
        <f>debtP*Debt_Rate</f>
        <v>2.6000000000000002E-2</v>
      </c>
      <c r="AB38" s="4">
        <f ca="1">+AA38+Z38</f>
        <v>0.21519614569764492</v>
      </c>
      <c r="AC38" s="4">
        <f ca="1">+AB38/(S38/100)</f>
        <v>8.0115971526120502E-2</v>
      </c>
      <c r="AD38" s="4">
        <f ca="1">1-AC38</f>
        <v>0.91988402847387951</v>
      </c>
      <c r="AE38" s="124">
        <f ca="1">expenses/(AD38)</f>
        <v>43711.131225339574</v>
      </c>
      <c r="AF38" s="125">
        <f ca="1">+AE38-Revenue</f>
        <v>24795.621225339564</v>
      </c>
      <c r="AG38" s="126">
        <f ca="1">+AF38/$J$49</f>
        <v>27526.788650908624</v>
      </c>
      <c r="AH38" s="126">
        <f ca="1">+AG38*$J$47</f>
        <v>553.28845188326329</v>
      </c>
      <c r="AI38" s="124">
        <f t="shared" ca="1" si="12"/>
        <v>44264.419679999999</v>
      </c>
    </row>
    <row r="39" spans="1:46" ht="15.75">
      <c r="A39" s="43"/>
      <c r="B39" s="43"/>
      <c r="C39" s="43"/>
      <c r="D39" s="43"/>
      <c r="E39" s="43"/>
      <c r="F39" s="142">
        <f t="shared" si="6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268.4391562480107</v>
      </c>
      <c r="T39" s="8">
        <f ca="1">EXP(y_inter4-(slope*LN(S39)))</f>
        <v>6.4798059053981394</v>
      </c>
      <c r="U39" s="4">
        <f ca="1">(+S39*T39/100)/100</f>
        <v>0.17394336298959537</v>
      </c>
      <c r="V39" s="4">
        <f>regDebt_weighted</f>
        <v>3.5860000000000003E-2</v>
      </c>
      <c r="W39" s="4">
        <f ca="1">+U39-V39</f>
        <v>0.13808336298959537</v>
      </c>
      <c r="X39" s="4">
        <f ca="1">+((W39*(1-0.34))-Pfd_weighted)/Equity_percent</f>
        <v>0.24693319643352596</v>
      </c>
      <c r="Y39" s="4">
        <f ca="1">+X39*equityP</f>
        <v>0.14815991786011556</v>
      </c>
      <c r="Z39" s="4">
        <f ca="1">+Y39/(1-taxrate)</f>
        <v>0.18754419982293108</v>
      </c>
      <c r="AA39" s="4">
        <f>debtP*Debt_Rate</f>
        <v>2.6000000000000002E-2</v>
      </c>
      <c r="AB39" s="4">
        <f ca="1">+AA39+Z39</f>
        <v>0.21354419982293107</v>
      </c>
      <c r="AC39" s="4">
        <f ca="1">+AB39/(S39/100)</f>
        <v>7.9550317028130493E-2</v>
      </c>
      <c r="AD39" s="4">
        <f ca="1">1-AC39</f>
        <v>0.92044968297186947</v>
      </c>
      <c r="AE39" s="124">
        <f ca="1">expenses/(AD39)</f>
        <v>43684.268922655079</v>
      </c>
      <c r="AF39" s="125">
        <f ca="1">+AE39-Revenue</f>
        <v>24768.75892265507</v>
      </c>
      <c r="AG39" s="126">
        <f ca="1">+AF39/$J$49</f>
        <v>27496.967541691276</v>
      </c>
      <c r="AH39" s="126">
        <f ca="1">+AG39*$J$47</f>
        <v>552.68904758799465</v>
      </c>
      <c r="AI39" s="124">
        <f t="shared" ca="1" si="12"/>
        <v>44236.957970000003</v>
      </c>
    </row>
    <row r="40" spans="1:46" ht="15.75">
      <c r="A40" s="43"/>
      <c r="B40" s="43"/>
      <c r="C40" s="43"/>
      <c r="D40" s="43"/>
      <c r="E40" s="43"/>
      <c r="F40" s="142">
        <f t="shared" si="6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6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6"/>
        <v>36</v>
      </c>
      <c r="G42" s="72"/>
      <c r="H42" s="72"/>
      <c r="I42" s="72"/>
      <c r="J42" s="108" t="s">
        <v>48</v>
      </c>
      <c r="K42" s="200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6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412.90501743275018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8.0115971526120502E-2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6"/>
        <v>38</v>
      </c>
      <c r="G44" s="72"/>
      <c r="H44" s="76" t="s">
        <v>63</v>
      </c>
      <c r="I44" s="75"/>
      <c r="J44" s="127">
        <f t="shared" ref="J44:J46" si="13">IF($A$65=TRUE,C12,0)</f>
        <v>5.1000000000000004E-3</v>
      </c>
      <c r="K44" s="128">
        <f ca="1">+J44*($J$7/$J$49)</f>
        <v>140.38770592713507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0.91988000000000003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6"/>
        <v>39</v>
      </c>
      <c r="G45" s="72"/>
      <c r="H45" s="76" t="s">
        <v>66</v>
      </c>
      <c r="I45" s="75"/>
      <c r="J45" s="127">
        <f t="shared" si="13"/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1.3401227550786894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6"/>
        <v>40</v>
      </c>
      <c r="G46" s="72"/>
      <c r="H46" s="76" t="s">
        <v>69</v>
      </c>
      <c r="I46" s="75"/>
      <c r="J46" s="127">
        <f t="shared" si="13"/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6"/>
        <v>41</v>
      </c>
      <c r="G47" s="72"/>
      <c r="H47" s="76" t="s">
        <v>71</v>
      </c>
      <c r="I47" s="74"/>
      <c r="J47" s="137">
        <f>SUM(J43:J46)</f>
        <v>2.01E-2</v>
      </c>
      <c r="K47" s="136">
        <f ca="1">+K43+K44+K45+K46</f>
        <v>553.29272335988526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6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268.60579931616223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6"/>
        <v>43</v>
      </c>
      <c r="G49" s="178"/>
      <c r="H49" s="201" t="s">
        <v>73</v>
      </c>
      <c r="I49" s="100"/>
      <c r="J49" s="202">
        <f ca="1">((K35)-J47)</f>
        <v>0.90078147290607014</v>
      </c>
      <c r="K49" s="100"/>
      <c r="L49" s="100"/>
      <c r="M49" s="100"/>
      <c r="N49" s="100"/>
      <c r="O49" s="43"/>
      <c r="P49" s="43"/>
      <c r="R49" s="149">
        <f ca="1">VLOOKUP(S36,R43:S46,2)</f>
        <v>3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0.91988000000000003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Z68" ca="1" si="14">+J33</f>
        <v>0.21251789904817744</v>
      </c>
      <c r="Z63" s="20">
        <f ca="1">+K33</f>
        <v>0.1733491402480602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4"/>
        <v>0.31086316508029571</v>
      </c>
      <c r="Z64" s="20">
        <f t="shared" ca="1" si="14"/>
        <v>0.24558190041343364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4"/>
        <v>0.91988000000000014</v>
      </c>
      <c r="Z65" s="20">
        <f t="shared" ca="1" si="14"/>
        <v>0.92088147290607014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4"/>
        <v>8.0119999999999914E-2</v>
      </c>
      <c r="Z66" s="20">
        <f t="shared" ca="1" si="14"/>
        <v>8.0119999999999914E-2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4"/>
        <v>2.6843915624801071</v>
      </c>
      <c r="Z67" s="20">
        <f t="shared" ca="1" si="14"/>
        <v>2.6843915624801071</v>
      </c>
      <c r="AC67" s="13"/>
      <c r="AH67" s="10"/>
    </row>
    <row r="68" spans="1:38">
      <c r="O68" s="9"/>
      <c r="W68" s="25" t="s">
        <v>58</v>
      </c>
      <c r="X68" s="110"/>
      <c r="Y68" s="20">
        <f t="shared" si="14"/>
        <v>0.21</v>
      </c>
      <c r="Z68" s="20">
        <f t="shared" si="14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portrait" r:id="rId1"/>
  <headerFooter alignWithMargins="0"/>
  <legacyDrawing r:id="rId2"/>
  <controls>
    <control shapeId="45057" r:id="rId3" name="CheckBox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AT113"/>
  <sheetViews>
    <sheetView showGridLines="0" showOutlineSymbols="0" topLeftCell="E7" zoomScale="120" zoomScaleNormal="120" workbookViewId="0">
      <selection activeCell="C8" sqref="C8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683" t="s">
        <v>106</v>
      </c>
      <c r="C2" s="683"/>
      <c r="D2" s="43"/>
      <c r="E2" s="43"/>
      <c r="F2" s="169" t="s">
        <v>112</v>
      </c>
      <c r="G2" s="98"/>
      <c r="H2" s="98"/>
      <c r="I2" s="99" t="s">
        <v>125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684" t="s">
        <v>92</v>
      </c>
      <c r="AG2" s="685"/>
      <c r="AH2" s="685"/>
      <c r="AI2" s="686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 ca="1">'Recycling Adj.'!M16</f>
        <v>402836.52668225172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 ca="1">'Recycling Adj.'!M67</f>
        <v>162005.72179184516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 ca="1">Revenue/Investment*100</f>
        <v>279.62508064097455</v>
      </c>
      <c r="T6" s="118">
        <f ca="1">EXP(y_inter1-(slope*LN(+S6)))</f>
        <v>6.4959534572072739</v>
      </c>
      <c r="U6" s="119">
        <f ca="1">(+S6*T6/100)/100</f>
        <v>0.18164315093116012</v>
      </c>
      <c r="V6" s="119">
        <f>regDebt_weighted</f>
        <v>3.5860000000000003E-2</v>
      </c>
      <c r="W6" s="119">
        <f ca="1">+U6-V6</f>
        <v>0.14578315093116012</v>
      </c>
      <c r="X6" s="119">
        <f ca="1">+((W6*(1-0.34))-Pfd_weighted)/Equity_percent</f>
        <v>0.26170604539117931</v>
      </c>
      <c r="Y6" s="119">
        <f ca="1">X6*equityP</f>
        <v>0.15702362723470759</v>
      </c>
      <c r="Z6" s="119">
        <f ca="1">+Y6/(1-taxrate)</f>
        <v>0.19876408510722479</v>
      </c>
      <c r="AA6" s="119">
        <f>debtP*Debt_Rate</f>
        <v>2.6000000000000002E-2</v>
      </c>
      <c r="AB6" s="119">
        <f ca="1">AA6+Z6</f>
        <v>0.22476408510722479</v>
      </c>
      <c r="AC6" s="119">
        <f ca="1">AB6/(S6/100)</f>
        <v>8.0380516866371987E-2</v>
      </c>
      <c r="AD6" s="119">
        <f ca="1">1-AC6</f>
        <v>0.91961948313362796</v>
      </c>
      <c r="AE6" s="120">
        <f ca="1">expenses/(AD6)</f>
        <v>176166.03906629549</v>
      </c>
      <c r="AF6" s="121">
        <f ca="1">+AE6-Revenue</f>
        <v>-226670.48761595623</v>
      </c>
      <c r="AG6" s="122">
        <f ca="1">+AF6/$J$49</f>
        <v>-267235.68338338216</v>
      </c>
      <c r="AH6" s="122">
        <f ca="1">+AG6*$J$47</f>
        <v>-5371.4372360059815</v>
      </c>
      <c r="AI6" s="120">
        <f ca="1">ROUND(+AH6+AE6,5)</f>
        <v>170794.60183</v>
      </c>
    </row>
    <row r="7" spans="1:35" ht="15.75">
      <c r="A7" s="43"/>
      <c r="B7" s="134" t="s">
        <v>104</v>
      </c>
      <c r="C7" s="130">
        <f>Assets!Q45</f>
        <v>144063.08824617736</v>
      </c>
      <c r="D7" s="116"/>
      <c r="E7" s="43"/>
      <c r="F7" s="141">
        <v>1</v>
      </c>
      <c r="G7" s="76"/>
      <c r="H7" s="79" t="s">
        <v>32</v>
      </c>
      <c r="I7" s="80">
        <f ca="1">IF(A65=TRUE,C5,0)</f>
        <v>402836.52668225172</v>
      </c>
      <c r="J7" s="80">
        <f ca="1">(+$I8/($R51))-I7</f>
        <v>-217039.49498107025</v>
      </c>
      <c r="K7" s="80">
        <f ca="1">+I7+J7</f>
        <v>185797.03170118146</v>
      </c>
      <c r="L7" s="80">
        <f ca="1">((+J7/J49*K35)-J7)</f>
        <v>-5143.2104694655864</v>
      </c>
      <c r="M7" s="80">
        <f ca="1">IFERROR(+K7+L7,0.00001)</f>
        <v>180653.82123171588</v>
      </c>
      <c r="O7" s="49"/>
      <c r="P7" s="43"/>
      <c r="R7" s="35">
        <v>2</v>
      </c>
      <c r="S7" s="123">
        <f ca="1">Revenue/Investment*100</f>
        <v>279.62508064097455</v>
      </c>
      <c r="T7" s="6">
        <f ca="1">EXP(y_inter1-(slope*LN(+S7)))</f>
        <v>6.4959534572072739</v>
      </c>
      <c r="U7" s="4">
        <f t="shared" ref="U7:U9" ca="1" si="0">(+S7*T7/100)/100</f>
        <v>0.18164315093116012</v>
      </c>
      <c r="V7" s="4">
        <f>regDebt_weighted</f>
        <v>3.5860000000000003E-2</v>
      </c>
      <c r="W7" s="4">
        <f t="shared" ref="W7:W9" ca="1" si="1">+U7-V7</f>
        <v>0.14578315093116012</v>
      </c>
      <c r="X7" s="4">
        <f ca="1">+((W7*(1-0.34))-Pfd_weighted)/Equity_percent</f>
        <v>0.26170604539117931</v>
      </c>
      <c r="Y7" s="4">
        <f ca="1">X7*equityP</f>
        <v>0.15702362723470759</v>
      </c>
      <c r="Z7" s="4">
        <f ca="1">+Y7/(1-taxrate)</f>
        <v>0.19876408510722479</v>
      </c>
      <c r="AA7" s="4">
        <f>debtP*Debt_Rate</f>
        <v>2.6000000000000002E-2</v>
      </c>
      <c r="AB7" s="4">
        <f t="shared" ref="AB7:AB9" ca="1" si="2">AA7+Z7</f>
        <v>0.22476408510722479</v>
      </c>
      <c r="AC7" s="4">
        <f t="shared" ref="AC7:AC9" ca="1" si="3">AB7/(S7/100)</f>
        <v>8.0380516866371987E-2</v>
      </c>
      <c r="AD7" s="4">
        <f t="shared" ref="AD7:AD9" ca="1" si="4">1-AC7</f>
        <v>0.91961948313362796</v>
      </c>
      <c r="AE7" s="124">
        <f ca="1">expenses/(AD7)</f>
        <v>176166.03906629549</v>
      </c>
      <c r="AF7" s="125">
        <f ca="1">+AE7-Revenue</f>
        <v>-226670.48761595623</v>
      </c>
      <c r="AG7" s="126">
        <f ca="1">+AF7/$J$49</f>
        <v>-267235.68338338216</v>
      </c>
      <c r="AH7" s="126">
        <f ca="1">+AG7*$J$47</f>
        <v>-5371.4372360059815</v>
      </c>
      <c r="AI7" s="124">
        <f t="shared" ref="AI7:AI9" ca="1" si="5">ROUND(+AH7+AE7,5)</f>
        <v>170794.60183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 ca="1">IF(A65=TRUE,C6,0)</f>
        <v>162005.72179184516</v>
      </c>
      <c r="J8" s="72"/>
      <c r="K8" s="80">
        <f ca="1">+I8</f>
        <v>162005.72179184516</v>
      </c>
      <c r="L8" s="80">
        <f ca="1">+L7</f>
        <v>-5143.2104694655864</v>
      </c>
      <c r="M8" s="80">
        <f ca="1">IFERROR(+K8+L8,0.00001)</f>
        <v>156862.51132237958</v>
      </c>
      <c r="O8" s="49"/>
      <c r="P8" s="43"/>
      <c r="R8" s="5">
        <v>3</v>
      </c>
      <c r="S8" s="123">
        <f ca="1">Revenue/Investment*100</f>
        <v>279.62508064097455</v>
      </c>
      <c r="T8" s="6">
        <f ca="1">EXP(y_inter1-(slope*LN(+S8)))</f>
        <v>6.4959534572072739</v>
      </c>
      <c r="U8" s="4">
        <f t="shared" ca="1" si="0"/>
        <v>0.18164315093116012</v>
      </c>
      <c r="V8" s="4">
        <f>regDebt_weighted</f>
        <v>3.5860000000000003E-2</v>
      </c>
      <c r="W8" s="4">
        <f t="shared" ca="1" si="1"/>
        <v>0.14578315093116012</v>
      </c>
      <c r="X8" s="4">
        <f ca="1">+((W8*(1-0.34))-Pfd_weighted)/Equity_percent</f>
        <v>0.26170604539117931</v>
      </c>
      <c r="Y8" s="4">
        <f ca="1">X8*equityP</f>
        <v>0.15702362723470759</v>
      </c>
      <c r="Z8" s="4">
        <f ca="1">+Y8/(1-taxrate)</f>
        <v>0.19876408510722479</v>
      </c>
      <c r="AA8" s="4">
        <f>debtP*Debt_Rate</f>
        <v>2.6000000000000002E-2</v>
      </c>
      <c r="AB8" s="4">
        <f t="shared" ca="1" si="2"/>
        <v>0.22476408510722479</v>
      </c>
      <c r="AC8" s="4">
        <f t="shared" ca="1" si="3"/>
        <v>8.0380516866371987E-2</v>
      </c>
      <c r="AD8" s="4">
        <f t="shared" ca="1" si="4"/>
        <v>0.91961948313362796</v>
      </c>
      <c r="AE8" s="124">
        <f ca="1">expenses/(AD8)</f>
        <v>176166.03906629549</v>
      </c>
      <c r="AF8" s="125">
        <f ca="1">+AE8-Revenue</f>
        <v>-226670.48761595623</v>
      </c>
      <c r="AG8" s="126">
        <f ca="1">+AF8/$J$49</f>
        <v>-267235.68338338216</v>
      </c>
      <c r="AH8" s="126">
        <f ca="1">+AG8*$J$47</f>
        <v>-5371.4372360059815</v>
      </c>
      <c r="AI8" s="124">
        <f t="shared" ca="1" si="5"/>
        <v>170794.60183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6">+F8+1</f>
        <v>3</v>
      </c>
      <c r="G9" s="76"/>
      <c r="H9" s="79" t="s">
        <v>34</v>
      </c>
      <c r="I9" s="81">
        <f ca="1">+I7-I8</f>
        <v>240830.80489040655</v>
      </c>
      <c r="J9" s="72"/>
      <c r="K9" s="81">
        <f ca="1">+K7-K8</f>
        <v>23791.309909336298</v>
      </c>
      <c r="L9" s="76"/>
      <c r="M9" s="82">
        <f ca="1">+M7-M8</f>
        <v>23791.309909336298</v>
      </c>
      <c r="O9" s="49"/>
      <c r="P9" s="43"/>
      <c r="R9" s="7">
        <v>4</v>
      </c>
      <c r="S9" s="123">
        <f ca="1">Revenue/Investment*100</f>
        <v>279.62508064097455</v>
      </c>
      <c r="T9" s="6">
        <f ca="1">EXP(y_inter1-(slope*LN(+S9)))</f>
        <v>6.4959534572072739</v>
      </c>
      <c r="U9" s="4">
        <f t="shared" ca="1" si="0"/>
        <v>0.18164315093116012</v>
      </c>
      <c r="V9" s="4">
        <f>regDebt_weighted</f>
        <v>3.5860000000000003E-2</v>
      </c>
      <c r="W9" s="4">
        <f t="shared" ca="1" si="1"/>
        <v>0.14578315093116012</v>
      </c>
      <c r="X9" s="4">
        <f ca="1">+((W9*(1-0.34))-Pfd_weighted)/Equity_percent</f>
        <v>0.26170604539117931</v>
      </c>
      <c r="Y9" s="4">
        <f ca="1">X9*equityP</f>
        <v>0.15702362723470759</v>
      </c>
      <c r="Z9" s="4">
        <f ca="1">+Y9/(1-taxrate)</f>
        <v>0.19876408510722479</v>
      </c>
      <c r="AA9" s="4">
        <f>debtP*Debt_Rate</f>
        <v>2.6000000000000002E-2</v>
      </c>
      <c r="AB9" s="4">
        <f t="shared" ca="1" si="2"/>
        <v>0.22476408510722479</v>
      </c>
      <c r="AC9" s="4">
        <f t="shared" ca="1" si="3"/>
        <v>8.0380516866371987E-2</v>
      </c>
      <c r="AD9" s="4">
        <f t="shared" ca="1" si="4"/>
        <v>0.91961948313362796</v>
      </c>
      <c r="AE9" s="124">
        <f ca="1">expenses/(AD9)</f>
        <v>176166.03906629549</v>
      </c>
      <c r="AF9" s="125">
        <f ca="1">+AE9-Revenue</f>
        <v>-226670.48761595623</v>
      </c>
      <c r="AG9" s="126">
        <f ca="1">+AF9/$J$49</f>
        <v>-267235.68338338216</v>
      </c>
      <c r="AH9" s="126">
        <f ca="1">+AG9*$J$47</f>
        <v>-5371.4372360059815</v>
      </c>
      <c r="AI9" s="124">
        <f t="shared" ca="1" si="5"/>
        <v>170794.60183</v>
      </c>
    </row>
    <row r="10" spans="1:35" ht="15.75">
      <c r="A10" s="43"/>
      <c r="B10" s="203" t="s">
        <v>98</v>
      </c>
      <c r="C10" s="131">
        <v>0.21</v>
      </c>
      <c r="D10" s="116"/>
      <c r="E10" s="43"/>
      <c r="F10" s="142">
        <f t="shared" si="6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1.4999999999999999E-2</v>
      </c>
      <c r="D11" s="116"/>
      <c r="E11" s="43"/>
      <c r="F11" s="142">
        <f t="shared" si="6"/>
        <v>5</v>
      </c>
      <c r="G11" s="76"/>
      <c r="H11" s="79" t="s">
        <v>35</v>
      </c>
      <c r="I11" s="80">
        <f>+K11</f>
        <v>3745.6402944006113</v>
      </c>
      <c r="J11" s="72"/>
      <c r="K11" s="80">
        <f>+M27</f>
        <v>3745.6402944006113</v>
      </c>
      <c r="L11" s="76"/>
      <c r="M11" s="80">
        <f>+K11</f>
        <v>3745.6402944006113</v>
      </c>
      <c r="O11" s="49"/>
      <c r="P11" s="43"/>
      <c r="R11" s="3">
        <v>1</v>
      </c>
      <c r="S11" s="117">
        <f ca="1">IF((AI6/Investment*100)&gt;0,(AI6/Investment*100),0)</f>
        <v>118.55542173172311</v>
      </c>
      <c r="T11" s="118">
        <f ca="1">EXP(y_inter1-(slope*LN(S11)))</f>
        <v>11.679271252374733</v>
      </c>
      <c r="U11" s="119">
        <f ca="1">(+S11*T11/100)/100</f>
        <v>0.13846409288444764</v>
      </c>
      <c r="V11" s="119">
        <f>regDebt_weighted</f>
        <v>3.5860000000000003E-2</v>
      </c>
      <c r="W11" s="119">
        <f ca="1">+U11-V11</f>
        <v>0.10260409288444763</v>
      </c>
      <c r="X11" s="119">
        <f ca="1">+((W11*(1-0.34))-Pfd_weighted)/Equity_percent</f>
        <v>0.1788625037899286</v>
      </c>
      <c r="Y11" s="119">
        <f ca="1">+X11*equityP</f>
        <v>0.10731750227395716</v>
      </c>
      <c r="Z11" s="119">
        <f ca="1">+Y11/(1-taxrate)</f>
        <v>0.13584493958728752</v>
      </c>
      <c r="AA11" s="119">
        <f>debtP*Debt_Rate</f>
        <v>2.6000000000000002E-2</v>
      </c>
      <c r="AB11" s="119">
        <f ca="1">+AA11+Z11</f>
        <v>0.16184493958728752</v>
      </c>
      <c r="AC11" s="119">
        <f ca="1">+AB11/(S11/100)</f>
        <v>0.13651416124479188</v>
      </c>
      <c r="AD11" s="119">
        <f ca="1">1-AC11</f>
        <v>0.86348583875520812</v>
      </c>
      <c r="AE11" s="120">
        <f ca="1">expenses/(AD11)</f>
        <v>187618.27295904572</v>
      </c>
      <c r="AF11" s="121">
        <f ca="1">+AE11-Revenue</f>
        <v>-215218.253723206</v>
      </c>
      <c r="AG11" s="122">
        <f ca="1">+AF11/$J$49</f>
        <v>-253733.94531953376</v>
      </c>
      <c r="AH11" s="122">
        <f ca="1">+AG11*$J$47</f>
        <v>-5100.0523009226281</v>
      </c>
      <c r="AI11" s="120">
        <f ca="1">ROUND(+AH11+AE11,5)</f>
        <v>182518.22065999999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6"/>
        <v>6</v>
      </c>
      <c r="G12" s="76"/>
      <c r="H12" s="79" t="s">
        <v>37</v>
      </c>
      <c r="I12" s="80">
        <f ca="1">IF(I14&lt;0,0,+J38*I14)</f>
        <v>41147.012037342669</v>
      </c>
      <c r="J12" s="80">
        <f ca="1">+K12-I12</f>
        <v>-36937.421418206177</v>
      </c>
      <c r="K12" s="80">
        <f ca="1">+(K9-K11)*taxrate</f>
        <v>4209.5906191364938</v>
      </c>
      <c r="L12" s="76"/>
      <c r="M12" s="80">
        <f ca="1">+K12</f>
        <v>4209.5906191364938</v>
      </c>
      <c r="O12" s="49"/>
      <c r="P12" s="43"/>
      <c r="R12" s="35">
        <v>2</v>
      </c>
      <c r="S12" s="123">
        <f ca="1">IF((AI7/Investment*100)&gt;0,(AI7/Investment*100),0)</f>
        <v>118.55542173172311</v>
      </c>
      <c r="T12" s="34">
        <f ca="1">EXP(y_inter2-(slope*LN(+S12)))</f>
        <v>11.513100750541582</v>
      </c>
      <c r="U12" s="4">
        <f ca="1">(+S12*T12/100)/100</f>
        <v>0.13649405149202753</v>
      </c>
      <c r="V12" s="4">
        <f>regDebt_weighted</f>
        <v>3.5860000000000003E-2</v>
      </c>
      <c r="W12" s="4">
        <f ca="1">+U12-V12</f>
        <v>0.10063405149202753</v>
      </c>
      <c r="X12" s="4">
        <f ca="1">+((W12*(1-0.34))-Pfd_weighted)/Equity_percent</f>
        <v>0.17508277321144813</v>
      </c>
      <c r="Y12" s="4">
        <f ca="1">+X12*equityP</f>
        <v>0.10504966392686887</v>
      </c>
      <c r="Z12" s="4">
        <f ca="1">+Y12/(1-taxrate)</f>
        <v>0.13297425813527705</v>
      </c>
      <c r="AA12" s="4">
        <f>debtP*Debt_Rate</f>
        <v>2.6000000000000002E-2</v>
      </c>
      <c r="AB12" s="4">
        <f ca="1">+AA12+Z12</f>
        <v>0.15897425813527705</v>
      </c>
      <c r="AC12" s="4">
        <f ca="1">+AB12/(S12/100)</f>
        <v>0.13409277771793263</v>
      </c>
      <c r="AD12" s="4">
        <f ca="1">1-AC12</f>
        <v>0.8659072222820674</v>
      </c>
      <c r="AE12" s="124">
        <f ca="1">expenses/(AD12)</f>
        <v>187093.62576383748</v>
      </c>
      <c r="AF12" s="125">
        <f ca="1">+AE12-Revenue</f>
        <v>-215742.90091841423</v>
      </c>
      <c r="AG12" s="126">
        <f ca="1">+AF12/$J$49</f>
        <v>-254352.48394457166</v>
      </c>
      <c r="AH12" s="126">
        <f ca="1">+AG12*$J$47</f>
        <v>-5112.4849272858901</v>
      </c>
      <c r="AI12" s="124">
        <f t="shared" ref="AI12:AI14" ca="1" si="7">ROUND(+AH12+AE12,5)</f>
        <v>181981.14084000001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6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118.55542173172311</v>
      </c>
      <c r="T13" s="6">
        <f ca="1">EXP(y_inter3-(slope*LN(S13)))</f>
        <v>11.401165450527033</v>
      </c>
      <c r="U13" s="4">
        <f ca="1">(+S13*T13/100)/100</f>
        <v>0.13516699782203834</v>
      </c>
      <c r="V13" s="4">
        <f>regDebt_weighted</f>
        <v>3.5860000000000003E-2</v>
      </c>
      <c r="W13" s="4">
        <f ca="1">+U13-V13</f>
        <v>9.9306997822038334E-2</v>
      </c>
      <c r="X13" s="4">
        <f ca="1">+((W13*(1-0.34))-Pfd_weighted)/Equity_percent</f>
        <v>0.17253668186786425</v>
      </c>
      <c r="Y13" s="4">
        <f ca="1">+X13*equityP</f>
        <v>0.10352200912071854</v>
      </c>
      <c r="Z13" s="4">
        <f ca="1">+Y13/(1-taxrate)</f>
        <v>0.13104051787432727</v>
      </c>
      <c r="AA13" s="4">
        <f>debtP*Debt_Rate</f>
        <v>2.6000000000000002E-2</v>
      </c>
      <c r="AB13" s="4">
        <f ca="1">+AA13+Z13</f>
        <v>0.15704051787432727</v>
      </c>
      <c r="AC13" s="4">
        <f ca="1">+AB13/(S13/100)</f>
        <v>0.1324616922452449</v>
      </c>
      <c r="AD13" s="4">
        <f ca="1">1-AC13</f>
        <v>0.86753830775475516</v>
      </c>
      <c r="AE13" s="124">
        <f ca="1">expenses/(AD13)</f>
        <v>186741.86527984726</v>
      </c>
      <c r="AF13" s="125">
        <f ca="1">+AE13-Revenue</f>
        <v>-216094.66140240445</v>
      </c>
      <c r="AG13" s="126">
        <f ca="1">+AF13/$J$49</f>
        <v>-254767.19586545334</v>
      </c>
      <c r="AH13" s="126">
        <f ca="1">+AG13*$J$47</f>
        <v>-5120.8206368956116</v>
      </c>
      <c r="AI13" s="124">
        <f t="shared" ca="1" si="7"/>
        <v>181621.04464000001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6"/>
        <v>8</v>
      </c>
      <c r="G14" s="76"/>
      <c r="H14" s="76" t="s">
        <v>38</v>
      </c>
      <c r="I14" s="106">
        <f ca="1">+I9-SUM(I11:I13)</f>
        <v>195938.15255866328</v>
      </c>
      <c r="J14" s="72"/>
      <c r="K14" s="106">
        <f ca="1">+K9-SUM(K11:K13)</f>
        <v>15836.078995799193</v>
      </c>
      <c r="L14" s="76"/>
      <c r="M14" s="106">
        <f ca="1">+M9-SUM(M11:M13)</f>
        <v>15836.078995799193</v>
      </c>
      <c r="O14" s="49"/>
      <c r="P14" s="43"/>
      <c r="R14" s="7">
        <v>4</v>
      </c>
      <c r="S14" s="123">
        <f ca="1">IF((AI9/Investment*100)&gt;0,(AI9/Investment*100),0)</f>
        <v>118.55542173172311</v>
      </c>
      <c r="T14" s="8">
        <f ca="1">EXP(y_inter4-(slope*LN(S14)))</f>
        <v>11.329563889926606</v>
      </c>
      <c r="U14" s="4">
        <f ca="1">(+S14*T14/100)/100</f>
        <v>0.13431812250067501</v>
      </c>
      <c r="V14" s="4">
        <f>regDebt_weighted</f>
        <v>3.5860000000000003E-2</v>
      </c>
      <c r="W14" s="4">
        <f ca="1">+U14-V14</f>
        <v>9.845812250067501E-2</v>
      </c>
      <c r="X14" s="4">
        <f ca="1">+((W14*(1-0.34))-Pfd_weighted)/Equity_percent</f>
        <v>0.17090802572803923</v>
      </c>
      <c r="Y14" s="4">
        <f ca="1">+X14*equityP</f>
        <v>0.10254481543682353</v>
      </c>
      <c r="Z14" s="4">
        <f ca="1">+Y14/(1-taxrate)</f>
        <v>0.12980356384408043</v>
      </c>
      <c r="AA14" s="4">
        <f>debtP*Debt_Rate</f>
        <v>2.6000000000000002E-2</v>
      </c>
      <c r="AB14" s="4">
        <f ca="1">+AA14+Z14</f>
        <v>0.15580356384408042</v>
      </c>
      <c r="AC14" s="4">
        <f ca="1">+AB14/(S14/100)</f>
        <v>0.1314183371525981</v>
      </c>
      <c r="AD14" s="4">
        <f ca="1">1-AC14</f>
        <v>0.8685816628474019</v>
      </c>
      <c r="AE14" s="124">
        <f ca="1">expenses/(AD14)</f>
        <v>186517.54776949208</v>
      </c>
      <c r="AF14" s="125">
        <f ca="1">+AE14-Revenue</f>
        <v>-216318.97891275963</v>
      </c>
      <c r="AG14" s="126">
        <f ca="1">+AF14/$J$49</f>
        <v>-255031.65748021894</v>
      </c>
      <c r="AH14" s="126">
        <f ca="1">+AG14*$J$47</f>
        <v>-5126.1363153524007</v>
      </c>
      <c r="AI14" s="124">
        <f t="shared" ca="1" si="7"/>
        <v>181391.41145000001</v>
      </c>
    </row>
    <row r="15" spans="1:35" ht="16.5" thickTop="1">
      <c r="A15" s="43"/>
      <c r="B15" s="687"/>
      <c r="C15" s="687"/>
      <c r="D15" s="43"/>
      <c r="E15" s="43"/>
      <c r="F15" s="142">
        <f t="shared" si="6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4" t="s">
        <v>126</v>
      </c>
      <c r="C16" s="688"/>
      <c r="D16" s="688"/>
      <c r="E16" s="43"/>
      <c r="F16" s="142">
        <f t="shared" si="6"/>
        <v>10</v>
      </c>
      <c r="G16" s="72"/>
      <c r="H16" s="184" t="s">
        <v>39</v>
      </c>
      <c r="I16" s="185">
        <f ca="1">+I8/I7</f>
        <v>0.40216244322757649</v>
      </c>
      <c r="J16" s="186"/>
      <c r="K16" s="185">
        <f ca="1">+K8/K7</f>
        <v>0.87194999999999989</v>
      </c>
      <c r="L16" s="187"/>
      <c r="M16" s="185">
        <f ca="1">+M8/M7</f>
        <v>0.86830441920838008</v>
      </c>
      <c r="O16" s="49"/>
      <c r="P16" s="43"/>
      <c r="R16" s="3">
        <v>1</v>
      </c>
      <c r="S16" s="117">
        <f ca="1">AI11/Investment*100</f>
        <v>126.69325840642114</v>
      </c>
      <c r="T16" s="118">
        <f ca="1">EXP(y_inter1-(slope*LN(+S16)))</f>
        <v>11.161025818994727</v>
      </c>
      <c r="U16" s="119">
        <f ca="1">(+S16*T16/100)/100</f>
        <v>0.14140267281666369</v>
      </c>
      <c r="V16" s="119">
        <f>regDebt_weighted</f>
        <v>3.5860000000000003E-2</v>
      </c>
      <c r="W16" s="119">
        <f ca="1">+U16-V16</f>
        <v>0.10554267281666369</v>
      </c>
      <c r="X16" s="119">
        <f ca="1">+((W16*(1-0.34))-Pfd_weighted)/Equity_percent</f>
        <v>0.18450047691569194</v>
      </c>
      <c r="Y16" s="119">
        <f ca="1">+X16*equityP</f>
        <v>0.11070028614941516</v>
      </c>
      <c r="Z16" s="119">
        <f ca="1">+Y16/(1-taxrate)</f>
        <v>0.14012694449293056</v>
      </c>
      <c r="AA16" s="119">
        <f>debtP*Debt_Rate</f>
        <v>2.6000000000000002E-2</v>
      </c>
      <c r="AB16" s="119">
        <f ca="1">+AA16+Z16</f>
        <v>0.16612694449293056</v>
      </c>
      <c r="AC16" s="119">
        <f ca="1">+AB16/(S16/100)</f>
        <v>0.1311253231486158</v>
      </c>
      <c r="AD16" s="119">
        <f ca="1">1-AC16</f>
        <v>0.8688746768513842</v>
      </c>
      <c r="AE16" s="120">
        <f ca="1">expenses/(AD16)</f>
        <v>186454.64772770132</v>
      </c>
      <c r="AF16" s="121">
        <f ca="1">+AE16-Revenue</f>
        <v>-216381.8789545504</v>
      </c>
      <c r="AG16" s="122">
        <f ca="1">+AF16/$J$49</f>
        <v>-255105.81418155925</v>
      </c>
      <c r="AH16" s="122">
        <f ca="1">+AG16*$J$47</f>
        <v>-5127.6268650493412</v>
      </c>
      <c r="AI16" s="120">
        <f ca="1">ROUND(+AH16+AE16,5)</f>
        <v>181327.02085999999</v>
      </c>
    </row>
    <row r="17" spans="1:35" ht="15.75">
      <c r="A17" s="43"/>
      <c r="B17" s="689"/>
      <c r="C17" s="688"/>
      <c r="D17" s="43" t="s">
        <v>102</v>
      </c>
      <c r="E17" s="43"/>
      <c r="F17" s="142">
        <f t="shared" si="6"/>
        <v>11</v>
      </c>
      <c r="G17" s="72"/>
      <c r="H17" s="188"/>
      <c r="I17" s="188"/>
      <c r="J17" s="173"/>
      <c r="K17" s="188"/>
      <c r="L17" s="184"/>
      <c r="M17" s="184"/>
      <c r="N17" s="83"/>
      <c r="O17" s="43"/>
      <c r="P17" s="43"/>
      <c r="R17" s="35">
        <v>2</v>
      </c>
      <c r="S17" s="123">
        <f ca="1">AI12/Investment*100</f>
        <v>126.32044964149848</v>
      </c>
      <c r="T17" s="34">
        <f ca="1">EXP(y_inter2-(slope*LN(+S17)))</f>
        <v>11.024417786629279</v>
      </c>
      <c r="U17" s="4">
        <f ca="1">(+S17*T17/100)/100</f>
        <v>0.1392609411842744</v>
      </c>
      <c r="V17" s="4">
        <f>regDebt_weighted</f>
        <v>3.5860000000000003E-2</v>
      </c>
      <c r="W17" s="4">
        <f ca="1">+U17-V17</f>
        <v>0.1034009411842744</v>
      </c>
      <c r="X17" s="4">
        <f ca="1">+((W17*(1-0.34))-Pfd_weighted)/Equity_percent</f>
        <v>0.18039134064424739</v>
      </c>
      <c r="Y17" s="4">
        <f ca="1">+X17*equityP</f>
        <v>0.10823480438654844</v>
      </c>
      <c r="Z17" s="4">
        <f ca="1">+Y17/(1-taxrate)</f>
        <v>0.13700608150196003</v>
      </c>
      <c r="AA17" s="4">
        <f>debtP*Debt_Rate</f>
        <v>2.6000000000000002E-2</v>
      </c>
      <c r="AB17" s="4">
        <f ca="1">+AA17+Z17</f>
        <v>0.16300608150196003</v>
      </c>
      <c r="AC17" s="4">
        <f ca="1">+AB17/(S17/100)</f>
        <v>0.12904172045347886</v>
      </c>
      <c r="AD17" s="4">
        <f ca="1">1-AC17</f>
        <v>0.87095827954652116</v>
      </c>
      <c r="AE17" s="124">
        <f ca="1">expenses/(AD17)</f>
        <v>186008.59030376992</v>
      </c>
      <c r="AF17" s="125">
        <f ca="1">+AE17-Revenue</f>
        <v>-216827.9363784818</v>
      </c>
      <c r="AG17" s="126">
        <f ca="1">+AF17/$J$49</f>
        <v>-255631.69852480249</v>
      </c>
      <c r="AH17" s="126">
        <f ca="1">+AG17*$J$47</f>
        <v>-5138.1971403485295</v>
      </c>
      <c r="AI17" s="124">
        <f t="shared" ref="AI17:AI19" ca="1" si="8">ROUND(+AH17+AE17,5)</f>
        <v>180870.39316000001</v>
      </c>
    </row>
    <row r="18" spans="1:35" ht="15.75">
      <c r="A18" s="43"/>
      <c r="B18" s="682" t="s">
        <v>127</v>
      </c>
      <c r="C18" s="682"/>
      <c r="D18" s="43"/>
      <c r="E18" s="43"/>
      <c r="F18" s="142">
        <f t="shared" si="6"/>
        <v>12</v>
      </c>
      <c r="G18" s="72"/>
      <c r="H18" s="189" t="s">
        <v>83</v>
      </c>
      <c r="I18" s="190"/>
      <c r="J18" s="190"/>
      <c r="K18" s="190"/>
      <c r="L18" s="190"/>
      <c r="M18" s="191"/>
      <c r="N18" s="173"/>
      <c r="O18" s="43"/>
      <c r="P18" s="43"/>
      <c r="R18" s="5">
        <v>3</v>
      </c>
      <c r="S18" s="123">
        <f ca="1">AI13/Investment*100</f>
        <v>126.07049234543896</v>
      </c>
      <c r="T18" s="6">
        <f ca="1">EXP(y_inter3-(slope*LN(S18)))</f>
        <v>10.932027324056337</v>
      </c>
      <c r="U18" s="4">
        <f ca="1">(+S18*T18/100)/100</f>
        <v>0.13782060670775739</v>
      </c>
      <c r="V18" s="4">
        <f>regDebt_weighted</f>
        <v>3.5860000000000003E-2</v>
      </c>
      <c r="W18" s="4">
        <f ca="1">+U18-V18</f>
        <v>0.10196060670775739</v>
      </c>
      <c r="X18" s="4">
        <f ca="1">+((W18*(1-0.34))-Pfd_weighted)/Equity_percent</f>
        <v>0.17762790821837174</v>
      </c>
      <c r="Y18" s="4">
        <f ca="1">+X18*equityP</f>
        <v>0.10657674493102304</v>
      </c>
      <c r="Z18" s="4">
        <f ca="1">+Y18/(1-taxrate)</f>
        <v>0.13490727206458611</v>
      </c>
      <c r="AA18" s="4">
        <f>debtP*Debt_Rate</f>
        <v>2.6000000000000002E-2</v>
      </c>
      <c r="AB18" s="4">
        <f ca="1">+AA18+Z18</f>
        <v>0.1609072720645861</v>
      </c>
      <c r="AC18" s="4">
        <f ca="1">+AB18/(S18/100)</f>
        <v>0.12763277835363152</v>
      </c>
      <c r="AD18" s="4">
        <f ca="1">1-AC18</f>
        <v>0.87236722164636848</v>
      </c>
      <c r="AE18" s="124">
        <f ca="1">expenses/(AD18)</f>
        <v>185708.17171018998</v>
      </c>
      <c r="AF18" s="125">
        <f ca="1">+AE18-Revenue</f>
        <v>-217128.35497206173</v>
      </c>
      <c r="AG18" s="126">
        <f ca="1">+AF18/$J$49</f>
        <v>-255985.88035500364</v>
      </c>
      <c r="AH18" s="126">
        <f ca="1">+AG18*$J$47</f>
        <v>-5145.3161951355733</v>
      </c>
      <c r="AI18" s="124">
        <f t="shared" ca="1" si="8"/>
        <v>180562.85552000001</v>
      </c>
    </row>
    <row r="19" spans="1:35" ht="15.75">
      <c r="A19" s="43"/>
      <c r="B19" s="43"/>
      <c r="C19" s="43"/>
      <c r="D19" s="43"/>
      <c r="E19" s="43"/>
      <c r="F19" s="142">
        <f t="shared" si="6"/>
        <v>13</v>
      </c>
      <c r="G19" s="72"/>
      <c r="H19" s="192"/>
      <c r="I19" s="174" t="s">
        <v>124</v>
      </c>
      <c r="J19" s="175">
        <f ca="1">+Revenue</f>
        <v>402836.52668225172</v>
      </c>
      <c r="K19" s="176"/>
      <c r="L19" s="174" t="s">
        <v>136</v>
      </c>
      <c r="M19" s="193">
        <f ca="1">+J7</f>
        <v>-217039.49498107025</v>
      </c>
      <c r="O19" s="43"/>
      <c r="P19" s="43"/>
      <c r="R19" s="7">
        <v>4</v>
      </c>
      <c r="S19" s="123">
        <f ca="1">AI14/Investment*100</f>
        <v>125.91109468654136</v>
      </c>
      <c r="T19" s="8">
        <f ca="1">EXP(y_inter4-(slope*LN(S19)))</f>
        <v>10.872772353566324</v>
      </c>
      <c r="U19" s="4">
        <f ca="1">(+S19*T19/100)/100</f>
        <v>0.13690026693150986</v>
      </c>
      <c r="V19" s="4">
        <f>regDebt_weighted</f>
        <v>3.5860000000000003E-2</v>
      </c>
      <c r="W19" s="4">
        <f ca="1">+U19-V19</f>
        <v>0.10104026693150986</v>
      </c>
      <c r="X19" s="4">
        <f ca="1">+((W19*(1-0.34))-Pfd_weighted)/Equity_percent</f>
        <v>0.17586214004301307</v>
      </c>
      <c r="Y19" s="4">
        <f ca="1">+X19*equityP</f>
        <v>0.10551728402580783</v>
      </c>
      <c r="Z19" s="4">
        <f ca="1">+Y19/(1-taxrate)</f>
        <v>0.13356618231114914</v>
      </c>
      <c r="AA19" s="4">
        <f>debtP*Debt_Rate</f>
        <v>2.6000000000000002E-2</v>
      </c>
      <c r="AB19" s="4">
        <f ca="1">+AA19+Z19</f>
        <v>0.15956618231114914</v>
      </c>
      <c r="AC19" s="4">
        <f ca="1">+AB19/(S19/100)</f>
        <v>0.12672924709962446</v>
      </c>
      <c r="AD19" s="4">
        <f ca="1">1-AC19</f>
        <v>0.87327075290037559</v>
      </c>
      <c r="AE19" s="124">
        <f ca="1">expenses/(AD19)</f>
        <v>185516.02839529322</v>
      </c>
      <c r="AF19" s="125">
        <f ca="1">+AE19-Revenue</f>
        <v>-217320.49828695849</v>
      </c>
      <c r="AG19" s="126">
        <f ca="1">+AF19/$J$49</f>
        <v>-256212.40984547255</v>
      </c>
      <c r="AH19" s="126">
        <f ca="1">+AG19*$J$47</f>
        <v>-5149.8694378939981</v>
      </c>
      <c r="AI19" s="124">
        <f t="shared" ca="1" si="8"/>
        <v>180366.15896</v>
      </c>
    </row>
    <row r="20" spans="1:35" ht="15.75">
      <c r="A20" s="43"/>
      <c r="B20" s="115"/>
      <c r="C20" s="43"/>
      <c r="D20" s="43"/>
      <c r="E20" s="43"/>
      <c r="F20" s="142">
        <f t="shared" si="6"/>
        <v>14</v>
      </c>
      <c r="G20" s="72"/>
      <c r="H20" s="192"/>
      <c r="I20" s="174" t="s">
        <v>42</v>
      </c>
      <c r="J20" s="175">
        <f ca="1">+J21-J19</f>
        <v>-222182.70545053584</v>
      </c>
      <c r="K20" s="176"/>
      <c r="L20" s="174" t="s">
        <v>41</v>
      </c>
      <c r="M20" s="193">
        <f ca="1">+L8</f>
        <v>-5143.2104694655864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6"/>
        <v>15</v>
      </c>
      <c r="G21" s="72"/>
      <c r="H21" s="192"/>
      <c r="I21" s="194" t="s">
        <v>83</v>
      </c>
      <c r="J21" s="195">
        <f ca="1">+M7</f>
        <v>180653.82123171588</v>
      </c>
      <c r="K21" s="177"/>
      <c r="L21" s="194" t="s">
        <v>42</v>
      </c>
      <c r="M21" s="196">
        <f ca="1">+M19+M20</f>
        <v>-222182.70545053584</v>
      </c>
      <c r="O21" s="43"/>
      <c r="P21" s="43"/>
      <c r="R21" s="3">
        <v>1</v>
      </c>
      <c r="S21" s="117">
        <f ca="1">AI16/Investment*100</f>
        <v>125.86639858097823</v>
      </c>
      <c r="T21" s="118">
        <f ca="1">EXP(y_inter1-(slope*LN(+S21)))</f>
        <v>11.211101000764511</v>
      </c>
      <c r="U21" s="119">
        <f ca="1">(+S21*T21/100)/100</f>
        <v>0.14111009070938299</v>
      </c>
      <c r="V21" s="119">
        <f>regDebt_weighted</f>
        <v>3.5860000000000003E-2</v>
      </c>
      <c r="W21" s="119">
        <f ca="1">+U21-V21</f>
        <v>0.10525009070938299</v>
      </c>
      <c r="X21" s="119">
        <f ca="1">+((W21*(1-0.34))-Pfd_weighted)/Equity_percent</f>
        <v>0.18393912752381619</v>
      </c>
      <c r="Y21" s="119">
        <f ca="1">+X21*equityP</f>
        <v>0.11036347651428971</v>
      </c>
      <c r="Z21" s="119">
        <f ca="1">+Y21/(1-taxrate)</f>
        <v>0.13970060318264518</v>
      </c>
      <c r="AA21" s="119">
        <f>debtP*Debt_Rate</f>
        <v>2.6000000000000002E-2</v>
      </c>
      <c r="AB21" s="119">
        <f ca="1">+AA21+Z21</f>
        <v>0.16570060318264518</v>
      </c>
      <c r="AC21" s="119">
        <f ca="1">+AB21/(S21/100)</f>
        <v>0.131648005385678</v>
      </c>
      <c r="AD21" s="119">
        <f ca="1">1-AC21</f>
        <v>0.868351994614322</v>
      </c>
      <c r="AE21" s="120">
        <f ca="1">expenses/(AD21)</f>
        <v>186566.8793261653</v>
      </c>
      <c r="AF21" s="121">
        <f ca="1">+AE21-Revenue</f>
        <v>-216269.64735608641</v>
      </c>
      <c r="AG21" s="122">
        <f ca="1">+AF21/$J$49</f>
        <v>-254973.49749477668</v>
      </c>
      <c r="AH21" s="122">
        <f ca="1">+AG21*$J$47</f>
        <v>-5124.9672996450108</v>
      </c>
      <c r="AI21" s="120">
        <f ca="1">ROUND(+AH21+AE21,5)</f>
        <v>181441.91203000001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6"/>
        <v>16</v>
      </c>
      <c r="G22" s="72"/>
      <c r="H22" s="197"/>
      <c r="I22" s="198"/>
      <c r="J22" s="198"/>
      <c r="K22" s="198"/>
      <c r="L22" s="198"/>
      <c r="M22" s="199"/>
      <c r="O22" s="43"/>
      <c r="P22" s="43"/>
      <c r="R22" s="35">
        <v>2</v>
      </c>
      <c r="S22" s="123">
        <f ca="1">AI17/Investment*100</f>
        <v>125.54943487739602</v>
      </c>
      <c r="T22" s="34">
        <f ca="1">EXP(y_inter2-(slope*LN(+S22)))</f>
        <v>11.070658999008291</v>
      </c>
      <c r="U22" s="4">
        <f ca="1">(+S22*T22/100)/100</f>
        <v>0.13899149810458497</v>
      </c>
      <c r="V22" s="4">
        <f>regDebt_weighted</f>
        <v>3.5860000000000003E-2</v>
      </c>
      <c r="W22" s="4">
        <f ca="1">+U22-V22</f>
        <v>0.10313149810458497</v>
      </c>
      <c r="X22" s="4">
        <f ca="1">+((W22*(1-0.34))-Pfd_weighted)/Equity_percent</f>
        <v>0.1798743858983316</v>
      </c>
      <c r="Y22" s="4">
        <f ca="1">+X22*equityP</f>
        <v>0.10792463153899896</v>
      </c>
      <c r="Z22" s="4">
        <f ca="1">+Y22/(1-taxrate)</f>
        <v>0.13661345764430247</v>
      </c>
      <c r="AA22" s="4">
        <f>debtP*Debt_Rate</f>
        <v>2.6000000000000002E-2</v>
      </c>
      <c r="AB22" s="4">
        <f ca="1">+AA22+Z22</f>
        <v>0.16261345764430246</v>
      </c>
      <c r="AC22" s="4">
        <f ca="1">+AB22/(S22/100)</f>
        <v>0.12952145726749062</v>
      </c>
      <c r="AD22" s="4">
        <f ca="1">1-AC22</f>
        <v>0.87047854273250935</v>
      </c>
      <c r="AE22" s="124">
        <f ca="1">expenses/(AD22)</f>
        <v>186111.10307589528</v>
      </c>
      <c r="AF22" s="125">
        <f ca="1">+AE22-Revenue</f>
        <v>-216725.42360635643</v>
      </c>
      <c r="AG22" s="126">
        <f ca="1">+AF22/$J$49</f>
        <v>-255510.83995603785</v>
      </c>
      <c r="AH22" s="126">
        <f ca="1">+AG22*$J$47</f>
        <v>-5135.7678831163603</v>
      </c>
      <c r="AI22" s="124">
        <f t="shared" ref="AI22:AI24" ca="1" si="9">ROUND(+AH22+AE22,5)</f>
        <v>180975.33519000001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6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125.33596059765929</v>
      </c>
      <c r="T23" s="6">
        <f ca="1">EXP(y_inter3-(slope*LN(S23)))</f>
        <v>10.975787634688382</v>
      </c>
      <c r="U23" s="4">
        <f ca="1">(+S23*T23/100)/100</f>
        <v>0.1375660886509579</v>
      </c>
      <c r="V23" s="4">
        <f>regDebt_weighted</f>
        <v>3.5860000000000003E-2</v>
      </c>
      <c r="W23" s="4">
        <f ca="1">+U23-V23</f>
        <v>0.1017060886509579</v>
      </c>
      <c r="X23" s="4">
        <f ca="1">+((W23*(1-0.34))-Pfd_weighted)/Equity_percent</f>
        <v>0.1771395886907913</v>
      </c>
      <c r="Y23" s="4">
        <f ca="1">+X23*equityP</f>
        <v>0.10628375321447478</v>
      </c>
      <c r="Z23" s="4">
        <f ca="1">+Y23/(1-taxrate)</f>
        <v>0.13453639647401872</v>
      </c>
      <c r="AA23" s="4">
        <f>debtP*Debt_Rate</f>
        <v>2.6000000000000002E-2</v>
      </c>
      <c r="AB23" s="4">
        <f ca="1">+AA23+Z23</f>
        <v>0.16053639647401871</v>
      </c>
      <c r="AC23" s="4">
        <f ca="1">+AB23/(S23/100)</f>
        <v>0.12808486543567194</v>
      </c>
      <c r="AD23" s="4">
        <f ca="1">1-AC23</f>
        <v>0.87191513456432812</v>
      </c>
      <c r="AE23" s="124">
        <f ca="1">expenses/(AD23)</f>
        <v>185804.4612022877</v>
      </c>
      <c r="AF23" s="125">
        <f ca="1">+AE23-Revenue</f>
        <v>-217032.06547996402</v>
      </c>
      <c r="AG23" s="126">
        <f ca="1">+AF23/$J$49</f>
        <v>-255872.35879119526</v>
      </c>
      <c r="AH23" s="126">
        <f ca="1">+AG23*$J$47</f>
        <v>-5143.0344117030245</v>
      </c>
      <c r="AI23" s="124">
        <f t="shared" ca="1" si="9"/>
        <v>180661.42679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6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125.19942558206677</v>
      </c>
      <c r="T24" s="8">
        <f ca="1">EXP(y_inter4-(slope*LN(S24)))</f>
        <v>10.914987950598528</v>
      </c>
      <c r="U24" s="4">
        <f ca="1">(+S24*T24/100)/100</f>
        <v>0.13665502216501157</v>
      </c>
      <c r="V24" s="4">
        <f>regDebt_weighted</f>
        <v>3.5860000000000003E-2</v>
      </c>
      <c r="W24" s="4">
        <f ca="1">+U24-V24</f>
        <v>0.10079502216501157</v>
      </c>
      <c r="X24" s="4">
        <f ca="1">+((W24*(1-0.34))-Pfd_weighted)/Equity_percent</f>
        <v>0.17539161229333616</v>
      </c>
      <c r="Y24" s="4">
        <f ca="1">+X24*equityP</f>
        <v>0.1052349673760017</v>
      </c>
      <c r="Z24" s="4">
        <f ca="1">+Y24/(1-taxrate)</f>
        <v>0.1332088194632933</v>
      </c>
      <c r="AA24" s="4">
        <f>debtP*Debt_Rate</f>
        <v>2.6000000000000002E-2</v>
      </c>
      <c r="AB24" s="4">
        <f ca="1">+AA24+Z24</f>
        <v>0.15920881946329329</v>
      </c>
      <c r="AC24" s="4">
        <f ca="1">+AB24/(S24/100)</f>
        <v>0.12716417725010548</v>
      </c>
      <c r="AD24" s="4">
        <f ca="1">1-AC24</f>
        <v>0.87283582274989446</v>
      </c>
      <c r="AE24" s="124">
        <f ca="1">expenses/(AD24)</f>
        <v>185608.4701948202</v>
      </c>
      <c r="AF24" s="125">
        <f ca="1">+AE24-Revenue</f>
        <v>-217228.05648743152</v>
      </c>
      <c r="AG24" s="126">
        <f ca="1">+AF24/$J$49</f>
        <v>-256103.42456146138</v>
      </c>
      <c r="AH24" s="126">
        <f ca="1">+AG24*$J$47</f>
        <v>-5147.6788336853733</v>
      </c>
      <c r="AI24" s="124">
        <f t="shared" ca="1" si="9"/>
        <v>180460.79136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6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6"/>
        <v>20</v>
      </c>
      <c r="H26" s="79" t="s">
        <v>27</v>
      </c>
      <c r="I26" s="88">
        <f>1-I27</f>
        <v>0.6</v>
      </c>
      <c r="J26" s="87">
        <f>+I26*J28</f>
        <v>86437.852947706415</v>
      </c>
      <c r="K26" s="83">
        <f ca="1">+K34</f>
        <v>0.18320768570431498</v>
      </c>
      <c r="L26" s="88">
        <f ca="1">+K26*I26</f>
        <v>0.10992461142258898</v>
      </c>
      <c r="M26" s="80">
        <f ca="1">+J26*K26</f>
        <v>15836.078995799193</v>
      </c>
      <c r="O26" s="43"/>
      <c r="P26" s="43"/>
      <c r="R26" s="3">
        <v>1</v>
      </c>
      <c r="S26" s="117">
        <f ca="1">AI21/Investment*100</f>
        <v>125.94614917594235</v>
      </c>
      <c r="T26" s="118">
        <f ca="1">EXP(y_inter1-(slope*LN(+S26)))</f>
        <v>11.206247139802167</v>
      </c>
      <c r="U26" s="119">
        <f ca="1">(+S26*T26/100)/100</f>
        <v>0.14113836739720009</v>
      </c>
      <c r="V26" s="119">
        <f>regDebt_weighted</f>
        <v>3.5860000000000003E-2</v>
      </c>
      <c r="W26" s="119">
        <f ca="1">+U26-V26</f>
        <v>0.10527836739720009</v>
      </c>
      <c r="X26" s="119">
        <f ca="1">+((W26*(1-0.34))-Pfd_weighted)/Equity_percent</f>
        <v>0.18399337930858156</v>
      </c>
      <c r="Y26" s="119">
        <f ca="1">+X26*equityP</f>
        <v>0.11039602758514894</v>
      </c>
      <c r="Z26" s="119">
        <f ca="1">+Y26/(1-taxrate)</f>
        <v>0.13974180706980877</v>
      </c>
      <c r="AA26" s="119">
        <f>debtP*Debt_Rate</f>
        <v>2.6000000000000002E-2</v>
      </c>
      <c r="AB26" s="119">
        <f ca="1">+AA26+Z26</f>
        <v>0.16574180706980876</v>
      </c>
      <c r="AC26" s="119">
        <f ca="1">+AB26/(S26/100)</f>
        <v>0.13159735978769249</v>
      </c>
      <c r="AD26" s="119">
        <f ca="1">1-AC26</f>
        <v>0.86840264021230751</v>
      </c>
      <c r="AE26" s="120">
        <f ca="1">expenses/(AD26)</f>
        <v>186555.99866927849</v>
      </c>
      <c r="AF26" s="121">
        <f ca="1">+AE26-Revenue</f>
        <v>-216280.52801297323</v>
      </c>
      <c r="AG26" s="122">
        <f ca="1">+AF26/$J$49</f>
        <v>-254986.32536579506</v>
      </c>
      <c r="AH26" s="122">
        <f ca="1">+AG26*$J$47</f>
        <v>-5125.2251398524804</v>
      </c>
      <c r="AI26" s="120">
        <f ca="1">ROUND(+AH26+AE26,5)</f>
        <v>181430.77353000001</v>
      </c>
    </row>
    <row r="27" spans="1:35" ht="15.75">
      <c r="A27" s="43"/>
      <c r="B27" s="43"/>
      <c r="C27" s="43"/>
      <c r="D27" s="43"/>
      <c r="E27" s="43"/>
      <c r="F27" s="142">
        <f t="shared" si="6"/>
        <v>21</v>
      </c>
      <c r="H27" s="79" t="s">
        <v>29</v>
      </c>
      <c r="I27" s="88">
        <f>IF(A65=TRUE,C8,0)</f>
        <v>0.4</v>
      </c>
      <c r="J27" s="90">
        <f>+I27*J28</f>
        <v>57625.235298470943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3745.6402944006113</v>
      </c>
      <c r="O27" s="43"/>
      <c r="P27" s="43"/>
      <c r="R27" s="35">
        <v>2</v>
      </c>
      <c r="S27" s="123">
        <f ca="1">AI22/Investment*100</f>
        <v>125.6222793730108</v>
      </c>
      <c r="T27" s="34">
        <f ca="1">EXP(y_inter2-(slope*LN(+S27)))</f>
        <v>11.066269753152465</v>
      </c>
      <c r="U27" s="4">
        <f ca="1">(+S27*T27/100)/100</f>
        <v>0.13901700305476181</v>
      </c>
      <c r="V27" s="4">
        <f>regDebt_weighted</f>
        <v>3.5860000000000003E-2</v>
      </c>
      <c r="W27" s="4">
        <f ca="1">+U27-V27</f>
        <v>0.1031570030547618</v>
      </c>
      <c r="X27" s="4">
        <f ca="1">+((W27*(1-0.34))-Pfd_weighted)/Equity_percent</f>
        <v>0.17992331981436854</v>
      </c>
      <c r="Y27" s="4">
        <f ca="1">+X27*equityP</f>
        <v>0.10795399188862112</v>
      </c>
      <c r="Z27" s="4">
        <f ca="1">+Y27/(1-taxrate)</f>
        <v>0.13665062264382419</v>
      </c>
      <c r="AA27" s="4">
        <f>debtP*Debt_Rate</f>
        <v>2.6000000000000002E-2</v>
      </c>
      <c r="AB27" s="4">
        <f ca="1">+AA27+Z27</f>
        <v>0.16265062264382418</v>
      </c>
      <c r="AC27" s="4">
        <f ca="1">+AB27/(S27/100)</f>
        <v>0.12947593647848479</v>
      </c>
      <c r="AD27" s="4">
        <f ca="1">1-AC27</f>
        <v>0.87052406352151523</v>
      </c>
      <c r="AE27" s="124">
        <f ca="1">expenses/(AD27)</f>
        <v>186101.37109419625</v>
      </c>
      <c r="AF27" s="125">
        <f ca="1">+AE27-Revenue</f>
        <v>-216735.15558805547</v>
      </c>
      <c r="AG27" s="126">
        <f ca="1">+AF27/$J$49</f>
        <v>-255522.31358371372</v>
      </c>
      <c r="AH27" s="126">
        <f ca="1">+AG27*$J$47</f>
        <v>-5135.9985030326461</v>
      </c>
      <c r="AI27" s="124">
        <f t="shared" ref="AI27:AI29" ca="1" si="10">ROUND(+AH27+AE27,5)</f>
        <v>180965.37259000001</v>
      </c>
    </row>
    <row r="28" spans="1:35" ht="16.5" thickBot="1">
      <c r="A28" s="43"/>
      <c r="B28" s="43"/>
      <c r="C28" s="43"/>
      <c r="D28" s="43"/>
      <c r="E28" s="43"/>
      <c r="F28" s="142">
        <f t="shared" si="6"/>
        <v>22</v>
      </c>
      <c r="H28" s="79" t="s">
        <v>103</v>
      </c>
      <c r="I28" s="91">
        <f>SUM(I26:I27)</f>
        <v>1</v>
      </c>
      <c r="J28" s="136">
        <f>IF(A65=TRUE,C7,0)</f>
        <v>144063.08824617736</v>
      </c>
      <c r="K28" s="144"/>
      <c r="L28" s="143">
        <f ca="1">SUM(L26:L27)</f>
        <v>0.13592461142258899</v>
      </c>
      <c r="M28" s="136">
        <f ca="1">SUM(M26:M27)</f>
        <v>19581.719290199806</v>
      </c>
      <c r="O28" s="43"/>
      <c r="P28" s="43"/>
      <c r="R28" s="5">
        <v>3</v>
      </c>
      <c r="S28" s="123">
        <f ca="1">AI23/Investment*100</f>
        <v>125.40438289180835</v>
      </c>
      <c r="T28" s="6">
        <f ca="1">EXP(y_inter3-(slope*LN(S28)))</f>
        <v>10.9716930993799</v>
      </c>
      <c r="U28" s="4">
        <f ca="1">(+S28*T28/100)/100</f>
        <v>0.13758984024060486</v>
      </c>
      <c r="V28" s="4">
        <f>regDebt_weighted</f>
        <v>3.5860000000000003E-2</v>
      </c>
      <c r="W28" s="4">
        <f ca="1">+U28-V28</f>
        <v>0.10172984024060486</v>
      </c>
      <c r="X28" s="4">
        <f ca="1">+((W28*(1-0.34))-Pfd_weighted)/Equity_percent</f>
        <v>0.17718515860116049</v>
      </c>
      <c r="Y28" s="4">
        <f ca="1">+X28*equityP</f>
        <v>0.1063110951606963</v>
      </c>
      <c r="Z28" s="4">
        <f ca="1">+Y28/(1-taxrate)</f>
        <v>0.13457100653252696</v>
      </c>
      <c r="AA28" s="4">
        <f>debtP*Debt_Rate</f>
        <v>2.6000000000000002E-2</v>
      </c>
      <c r="AB28" s="4">
        <f ca="1">+AA28+Z28</f>
        <v>0.16057100653252696</v>
      </c>
      <c r="AC28" s="4">
        <f ca="1">+AB28/(S28/100)</f>
        <v>0.12804257939776981</v>
      </c>
      <c r="AD28" s="4">
        <f ca="1">1-AC28</f>
        <v>0.87195742060223025</v>
      </c>
      <c r="AE28" s="124">
        <f ca="1">expenses/(AD28)</f>
        <v>185795.45051632627</v>
      </c>
      <c r="AF28" s="125">
        <f ca="1">+AE28-Revenue</f>
        <v>-217041.07616592545</v>
      </c>
      <c r="AG28" s="126">
        <f ca="1">+AF28/$J$49</f>
        <v>-255882.98203926775</v>
      </c>
      <c r="AH28" s="126">
        <f ca="1">+AG28*$J$47</f>
        <v>-5143.2479389892815</v>
      </c>
      <c r="AI28" s="124">
        <f t="shared" ca="1" si="10"/>
        <v>180652.20258000001</v>
      </c>
    </row>
    <row r="29" spans="1:35" ht="16.5" thickTop="1">
      <c r="A29" s="43"/>
      <c r="B29" s="43"/>
      <c r="C29" s="43"/>
      <c r="D29" s="43"/>
      <c r="E29" s="43"/>
      <c r="F29" s="142">
        <f t="shared" si="6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125.2651137476837</v>
      </c>
      <c r="T29" s="8">
        <f ca="1">EXP(y_inter4-(slope*LN(S29)))</f>
        <v>10.911074473396486</v>
      </c>
      <c r="U29" s="4">
        <f ca="1">(+S29*T29/100)/100</f>
        <v>0.13667769850194589</v>
      </c>
      <c r="V29" s="4">
        <f>regDebt_weighted</f>
        <v>3.5860000000000003E-2</v>
      </c>
      <c r="W29" s="4">
        <f ca="1">+U29-V29</f>
        <v>0.10081769850194588</v>
      </c>
      <c r="X29" s="4">
        <f ca="1">+((W29*(1-0.34))-Pfd_weighted)/Equity_percent</f>
        <v>0.17543511921884966</v>
      </c>
      <c r="Y29" s="4">
        <f ca="1">+X29*equityP</f>
        <v>0.1052610715313098</v>
      </c>
      <c r="Z29" s="4">
        <f ca="1">+Y29/(1-taxrate)</f>
        <v>0.13324186269786051</v>
      </c>
      <c r="AA29" s="4">
        <f>debtP*Debt_Rate</f>
        <v>2.6000000000000002E-2</v>
      </c>
      <c r="AB29" s="4">
        <f ca="1">+AA29+Z29</f>
        <v>0.1592418626978605</v>
      </c>
      <c r="AC29" s="4">
        <f ca="1">+AB29/(S29/100)</f>
        <v>0.1271238718695572</v>
      </c>
      <c r="AD29" s="4">
        <f ca="1">1-AC29</f>
        <v>0.8728761281304428</v>
      </c>
      <c r="AE29" s="124">
        <f ca="1">expenses/(AD29)</f>
        <v>185599.89965453037</v>
      </c>
      <c r="AF29" s="125">
        <f ca="1">+AE29-Revenue</f>
        <v>-217236.62702772135</v>
      </c>
      <c r="AG29" s="126">
        <f ca="1">+AF29/$J$49</f>
        <v>-256113.52889491653</v>
      </c>
      <c r="AH29" s="126">
        <f ca="1">+AG29*$J$47</f>
        <v>-5147.8819307878221</v>
      </c>
      <c r="AI29" s="124">
        <f t="shared" ca="1" si="10"/>
        <v>180452.01772</v>
      </c>
    </row>
    <row r="30" spans="1:35" ht="15.75">
      <c r="A30" s="43"/>
      <c r="B30" s="43"/>
      <c r="C30" s="43"/>
      <c r="D30" s="43"/>
      <c r="E30" s="43"/>
      <c r="F30" s="142">
        <f t="shared" si="6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6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125.93841749384696</v>
      </c>
      <c r="T31" s="118">
        <f ca="1">EXP(y_inter1-(slope*LN(+S31)))</f>
        <v>11.206717486673162</v>
      </c>
      <c r="U31" s="119">
        <f ca="1">(+S31*T31/100)/100</f>
        <v>0.141135626557224</v>
      </c>
      <c r="V31" s="119">
        <f>regDebt_weighted</f>
        <v>3.5860000000000003E-2</v>
      </c>
      <c r="W31" s="119">
        <f ca="1">+U31-V31</f>
        <v>0.105275626557224</v>
      </c>
      <c r="X31" s="119">
        <f ca="1">+((W31*(1-0.34))-Pfd_weighted)/Equity_percent</f>
        <v>0.18398812072025536</v>
      </c>
      <c r="Y31" s="119">
        <f ca="1">+X31*equityP</f>
        <v>0.11039287243215322</v>
      </c>
      <c r="Z31" s="119">
        <f ca="1">+Y31/(1-taxrate)</f>
        <v>0.13973781320525724</v>
      </c>
      <c r="AA31" s="119">
        <f>debtP*Debt_Rate</f>
        <v>2.6000000000000002E-2</v>
      </c>
      <c r="AB31" s="119">
        <f ca="1">+AA31+Z31</f>
        <v>0.16573781320525724</v>
      </c>
      <c r="AC31" s="119">
        <f ca="1">+AB31/(S31/100)</f>
        <v>0.13160226760301699</v>
      </c>
      <c r="AD31" s="119">
        <f ca="1">1-AC31</f>
        <v>0.86839773239698304</v>
      </c>
      <c r="AE31" s="120">
        <f ca="1">expenses/(AD31)</f>
        <v>186557.05300458474</v>
      </c>
      <c r="AF31" s="121">
        <f ca="1">+AE31-Revenue</f>
        <v>-216279.47367766697</v>
      </c>
      <c r="AG31" s="122">
        <f ca="1">+AF31/$J$49</f>
        <v>-254985.0823455014</v>
      </c>
      <c r="AH31" s="122">
        <f ca="1">+AG31*$J$47</f>
        <v>-5125.2001551445783</v>
      </c>
      <c r="AI31" s="120">
        <f ca="1">ROUND(+AH31+AE31,5)</f>
        <v>181431.85285</v>
      </c>
    </row>
    <row r="32" spans="1:35" ht="15.75">
      <c r="A32" s="43"/>
      <c r="B32" s="43"/>
      <c r="C32" s="43"/>
      <c r="D32" s="43"/>
      <c r="E32" s="43"/>
      <c r="F32" s="142">
        <f t="shared" si="6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125.61536393053258</v>
      </c>
      <c r="T32" s="34">
        <f ca="1">EXP(y_inter2-(slope*LN(+S32)))</f>
        <v>11.066686259099122</v>
      </c>
      <c r="U32" s="4">
        <f ca="1">(+S32*T32/100)/100</f>
        <v>0.13901458219417603</v>
      </c>
      <c r="V32" s="4">
        <f>regDebt_weighted</f>
        <v>3.5860000000000003E-2</v>
      </c>
      <c r="W32" s="4">
        <f ca="1">+U32-V32</f>
        <v>0.10315458219417603</v>
      </c>
      <c r="X32" s="4">
        <f ca="1">+((W32*(1-0.34))-Pfd_weighted)/Equity_percent</f>
        <v>0.17991867513998888</v>
      </c>
      <c r="Y32" s="4">
        <f ca="1">+X32*equityP</f>
        <v>0.10795120508399332</v>
      </c>
      <c r="Z32" s="4">
        <f ca="1">+Y32/(1-taxrate)</f>
        <v>0.13664709504302952</v>
      </c>
      <c r="AA32" s="4">
        <f>debtP*Debt_Rate</f>
        <v>2.6000000000000002E-2</v>
      </c>
      <c r="AB32" s="4">
        <f ca="1">+AA32+Z32</f>
        <v>0.16264709504302952</v>
      </c>
      <c r="AC32" s="4">
        <f ca="1">+AB32/(S32/100)</f>
        <v>0.12948025619937392</v>
      </c>
      <c r="AD32" s="4">
        <f ca="1">1-AC32</f>
        <v>0.87051974380062602</v>
      </c>
      <c r="AE32" s="124">
        <f ca="1">expenses/(AD32)</f>
        <v>186102.29457236655</v>
      </c>
      <c r="AF32" s="125">
        <f ca="1">+AE32-Revenue</f>
        <v>-216734.23210988517</v>
      </c>
      <c r="AG32" s="126">
        <f ca="1">+AF32/$J$49</f>
        <v>-255521.22483889069</v>
      </c>
      <c r="AH32" s="126">
        <f ca="1">+AG32*$J$47</f>
        <v>-5135.9766192617026</v>
      </c>
      <c r="AI32" s="124">
        <f t="shared" ref="AI32:AI34" ca="1" si="11">ROUND(+AH32+AE32,5)</f>
        <v>180966.31795</v>
      </c>
    </row>
    <row r="33" spans="1:46" ht="15.75">
      <c r="A33" s="43"/>
      <c r="B33" s="43"/>
      <c r="C33" s="43"/>
      <c r="D33" s="43"/>
      <c r="E33" s="43"/>
      <c r="F33" s="142">
        <f t="shared" si="6"/>
        <v>27</v>
      </c>
      <c r="G33" s="72"/>
      <c r="H33" s="76" t="s">
        <v>54</v>
      </c>
      <c r="I33" s="76"/>
      <c r="J33" s="89">
        <f ca="1">+K9/J28</f>
        <v>0.16514507775011264</v>
      </c>
      <c r="K33" s="89">
        <f ca="1">+(M14+M11)/J28</f>
        <v>0.13592461142258899</v>
      </c>
      <c r="L33" s="72"/>
      <c r="M33" s="72"/>
      <c r="N33" s="72"/>
      <c r="O33" s="43"/>
      <c r="P33" s="43"/>
      <c r="R33" s="5">
        <v>3</v>
      </c>
      <c r="S33" s="123">
        <f ca="1">AI28/Investment*100</f>
        <v>125.39797999561037</v>
      </c>
      <c r="T33" s="6">
        <f ca="1">EXP(y_inter3-(slope*LN(S33)))</f>
        <v>10.972076102742967</v>
      </c>
      <c r="U33" s="4">
        <f ca="1">(+S33*T33/100)/100</f>
        <v>0.13758761796420774</v>
      </c>
      <c r="V33" s="4">
        <f>regDebt_weighted</f>
        <v>3.5860000000000003E-2</v>
      </c>
      <c r="W33" s="4">
        <f ca="1">+U33-V33</f>
        <v>0.10172761796420773</v>
      </c>
      <c r="X33" s="4">
        <f ca="1">+((W33*(1-0.34))-Pfd_weighted)/Equity_percent</f>
        <v>0.17718089493132877</v>
      </c>
      <c r="Y33" s="4">
        <f ca="1">+X33*equityP</f>
        <v>0.10630853695879726</v>
      </c>
      <c r="Z33" s="4">
        <f ca="1">+Y33/(1-taxrate)</f>
        <v>0.13456776830227501</v>
      </c>
      <c r="AA33" s="4">
        <f>debtP*Debt_Rate</f>
        <v>2.6000000000000002E-2</v>
      </c>
      <c r="AB33" s="4">
        <f ca="1">+AA33+Z33</f>
        <v>0.16056776830227501</v>
      </c>
      <c r="AC33" s="4">
        <f ca="1">+AB33/(S33/100)</f>
        <v>0.12804653496642909</v>
      </c>
      <c r="AD33" s="4">
        <f ca="1">1-AC33</f>
        <v>0.87195346503357096</v>
      </c>
      <c r="AE33" s="124">
        <f ca="1">expenses/(AD33)</f>
        <v>185796.29336710967</v>
      </c>
      <c r="AF33" s="125">
        <f ca="1">+AE33-Revenue</f>
        <v>-217040.23331514205</v>
      </c>
      <c r="AG33" s="126">
        <f ca="1">+AF33/$J$49</f>
        <v>-255881.98835099602</v>
      </c>
      <c r="AH33" s="126">
        <f ca="1">+AG33*$J$47</f>
        <v>-5143.2279658550196</v>
      </c>
      <c r="AI33" s="124">
        <f t="shared" ca="1" si="11"/>
        <v>180653.06539999999</v>
      </c>
    </row>
    <row r="34" spans="1:46" ht="15.75">
      <c r="A34" s="43"/>
      <c r="B34" s="43"/>
      <c r="C34" s="43"/>
      <c r="D34" s="43"/>
      <c r="E34" s="43"/>
      <c r="F34" s="142">
        <f t="shared" si="6"/>
        <v>28</v>
      </c>
      <c r="G34" s="72"/>
      <c r="H34" s="76" t="s">
        <v>55</v>
      </c>
      <c r="I34" s="76"/>
      <c r="J34" s="89">
        <f ca="1">+(M9-M11)/J26</f>
        <v>0.23190846291685441</v>
      </c>
      <c r="K34" s="89">
        <f ca="1">+M14/J26</f>
        <v>0.18320768570431498</v>
      </c>
      <c r="L34" s="72"/>
      <c r="M34" s="72"/>
      <c r="N34" s="72"/>
      <c r="O34" s="46"/>
      <c r="P34" s="43"/>
      <c r="R34" s="7">
        <v>4</v>
      </c>
      <c r="S34" s="123">
        <f ca="1">AI29/Investment*100</f>
        <v>125.25902361029542</v>
      </c>
      <c r="T34" s="8">
        <f ca="1">EXP(y_inter4-(slope*LN(S34)))</f>
        <v>10.911437157709328</v>
      </c>
      <c r="U34" s="4">
        <f ca="1">(+S34*T34/100)/100</f>
        <v>0.13667559645597674</v>
      </c>
      <c r="V34" s="4">
        <f>regDebt_weighted</f>
        <v>3.5860000000000003E-2</v>
      </c>
      <c r="W34" s="4">
        <f ca="1">+U34-V34</f>
        <v>0.10081559645597674</v>
      </c>
      <c r="X34" s="4">
        <f ca="1">+((W34*(1-0.34))-Pfd_weighted)/Equity_percent</f>
        <v>0.17543108622367626</v>
      </c>
      <c r="Y34" s="4">
        <f ca="1">+X34*equityP</f>
        <v>0.10525865173420575</v>
      </c>
      <c r="Z34" s="4">
        <f ca="1">+Y34/(1-taxrate)</f>
        <v>0.13323879966355157</v>
      </c>
      <c r="AA34" s="4">
        <f>debtP*Debt_Rate</f>
        <v>2.6000000000000002E-2</v>
      </c>
      <c r="AB34" s="4">
        <f ca="1">+AA34+Z34</f>
        <v>0.15923879966355156</v>
      </c>
      <c r="AC34" s="4">
        <f ca="1">+AB34/(S34/100)</f>
        <v>0.12712760731631892</v>
      </c>
      <c r="AD34" s="4">
        <f ca="1">1-AC34</f>
        <v>0.87287239268368111</v>
      </c>
      <c r="AE34" s="124">
        <f ca="1">expenses/(AD34)</f>
        <v>185600.69392703794</v>
      </c>
      <c r="AF34" s="125">
        <f ca="1">+AE34-Revenue</f>
        <v>-217235.83275521378</v>
      </c>
      <c r="AG34" s="126">
        <f ca="1">+AF34/$J$49</f>
        <v>-256112.59247854145</v>
      </c>
      <c r="AH34" s="126">
        <f ca="1">+AG34*$J$47</f>
        <v>-5147.863108818683</v>
      </c>
      <c r="AI34" s="124">
        <f t="shared" ca="1" si="11"/>
        <v>180452.83082</v>
      </c>
    </row>
    <row r="35" spans="1:46" ht="15.75">
      <c r="A35" s="43"/>
      <c r="B35" s="43"/>
      <c r="C35" s="43"/>
      <c r="D35" s="43"/>
      <c r="E35" s="43"/>
      <c r="F35" s="142">
        <f t="shared" si="6"/>
        <v>29</v>
      </c>
      <c r="G35" s="72"/>
      <c r="H35" s="92" t="s">
        <v>31</v>
      </c>
      <c r="I35" s="76"/>
      <c r="J35" s="89">
        <f ca="1">+K8/K7</f>
        <v>0.87194999999999989</v>
      </c>
      <c r="K35" s="89">
        <f ca="1">+M8/M7</f>
        <v>0.86830441920838008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6"/>
        <v>30</v>
      </c>
      <c r="G36" s="72"/>
      <c r="H36" s="76" t="s">
        <v>56</v>
      </c>
      <c r="I36" s="76"/>
      <c r="J36" s="89">
        <f ca="1">+K9/K7</f>
        <v>0.12805000000000005</v>
      </c>
      <c r="K36" s="89">
        <f ca="1">+J36</f>
        <v>0.12805000000000005</v>
      </c>
      <c r="L36" s="72"/>
      <c r="M36" s="72"/>
      <c r="N36" s="72"/>
      <c r="O36" s="43"/>
      <c r="P36" s="43"/>
      <c r="R36" s="3">
        <v>1</v>
      </c>
      <c r="S36" s="117">
        <f ca="1">AI31/Investment*100</f>
        <v>125.9391666933908</v>
      </c>
      <c r="T36" s="118">
        <f ca="1">EXP(y_inter1-(slope*LN(+S36)))</f>
        <v>11.206671907961569</v>
      </c>
      <c r="U36" s="119">
        <f ca="1">(+S36*T36/100)/100</f>
        <v>0.14113589214949121</v>
      </c>
      <c r="V36" s="119">
        <f>regDebt_weighted</f>
        <v>3.5860000000000003E-2</v>
      </c>
      <c r="W36" s="119">
        <f ca="1">+U36-V36</f>
        <v>0.10527589214949121</v>
      </c>
      <c r="X36" s="119">
        <f ca="1">+((W36*(1-0.34))-Pfd_weighted)/Equity_percent</f>
        <v>0.1839886302868145</v>
      </c>
      <c r="Y36" s="119">
        <f ca="1">+X36*equityP</f>
        <v>0.1103931781720887</v>
      </c>
      <c r="Z36" s="119">
        <f ca="1">+Y36/(1-taxrate)</f>
        <v>0.13973820021783379</v>
      </c>
      <c r="AA36" s="119">
        <f>debtP*Debt_Rate</f>
        <v>2.6000000000000002E-2</v>
      </c>
      <c r="AB36" s="119">
        <f ca="1">+AA36+Z36</f>
        <v>0.16573820021783378</v>
      </c>
      <c r="AC36" s="119">
        <f ca="1">+AB36/(S36/100)</f>
        <v>0.13160179201545535</v>
      </c>
      <c r="AD36" s="119">
        <f ca="1">1-AC36</f>
        <v>0.8683982079845447</v>
      </c>
      <c r="AE36" s="120">
        <f ca="1">expenses/(AD36)</f>
        <v>186556.95083462039</v>
      </c>
      <c r="AF36" s="121">
        <f ca="1">+AE36-Revenue</f>
        <v>-216279.57584763132</v>
      </c>
      <c r="AG36" s="122">
        <f ca="1">+AF36/$J$49</f>
        <v>-254985.20279991312</v>
      </c>
      <c r="AH36" s="122">
        <f ca="1">+AG36*$J$47</f>
        <v>-5125.2025762782541</v>
      </c>
      <c r="AI36" s="120">
        <f ca="1">ROUND(+AH36+AE36,5)</f>
        <v>181431.74825999999</v>
      </c>
    </row>
    <row r="37" spans="1:46" ht="15.75">
      <c r="A37" s="43"/>
      <c r="B37" s="43"/>
      <c r="C37" s="43"/>
      <c r="D37" s="43"/>
      <c r="E37" s="43"/>
      <c r="F37" s="142">
        <f t="shared" si="6"/>
        <v>31</v>
      </c>
      <c r="G37" s="72"/>
      <c r="H37" s="76" t="s">
        <v>57</v>
      </c>
      <c r="I37" s="74"/>
      <c r="J37" s="93">
        <f ca="1">+S39/100</f>
        <v>1.2525958801579991</v>
      </c>
      <c r="K37" s="93">
        <f ca="1">+J37</f>
        <v>1.2525958801579991</v>
      </c>
      <c r="L37" s="72"/>
      <c r="M37" s="72"/>
      <c r="N37" s="72"/>
      <c r="O37" s="43"/>
      <c r="P37" s="43"/>
      <c r="R37" s="35">
        <v>2</v>
      </c>
      <c r="S37" s="123">
        <f ca="1">AI32/Investment*100</f>
        <v>125.61602014303747</v>
      </c>
      <c r="T37" s="34">
        <f ca="1">EXP(y_inter2-(slope*LN(+S37)))</f>
        <v>11.06664673482048</v>
      </c>
      <c r="U37" s="4">
        <f ca="1">(+S37*T37/100)/100</f>
        <v>0.13901481191570894</v>
      </c>
      <c r="V37" s="4">
        <f>regDebt_weighted</f>
        <v>3.5860000000000003E-2</v>
      </c>
      <c r="W37" s="4">
        <f ca="1">+U37-V37</f>
        <v>0.10315481191570894</v>
      </c>
      <c r="X37" s="4">
        <f ca="1">+((W37*(1-0.34))-Pfd_weighted)/Equity_percent</f>
        <v>0.1799191158847904</v>
      </c>
      <c r="Y37" s="4">
        <f ca="1">+X37*equityP</f>
        <v>0.10795146953087424</v>
      </c>
      <c r="Z37" s="4">
        <f ca="1">+Y37/(1-taxrate)</f>
        <v>0.13664742978591676</v>
      </c>
      <c r="AA37" s="4">
        <f>debtP*Debt_Rate</f>
        <v>2.6000000000000002E-2</v>
      </c>
      <c r="AB37" s="4">
        <f ca="1">+AA37+Z37</f>
        <v>0.16264742978591676</v>
      </c>
      <c r="AC37" s="4">
        <f ca="1">+AB37/(S37/100)</f>
        <v>0.12947984628131989</v>
      </c>
      <c r="AD37" s="4">
        <f ca="1">1-AC37</f>
        <v>0.87052015371868008</v>
      </c>
      <c r="AE37" s="124">
        <f ca="1">expenses/(AD37)</f>
        <v>186102.20693890957</v>
      </c>
      <c r="AF37" s="125">
        <f ca="1">+AE37-Revenue</f>
        <v>-216734.31974334214</v>
      </c>
      <c r="AG37" s="126">
        <f ca="1">+AF37/$J$49</f>
        <v>-255521.32815532596</v>
      </c>
      <c r="AH37" s="126">
        <f ca="1">+AG37*$J$47</f>
        <v>-5135.9786959220519</v>
      </c>
      <c r="AI37" s="124">
        <f t="shared" ref="AI37:AI39" ca="1" si="12">ROUND(+AH37+AE37,5)</f>
        <v>180966.22824</v>
      </c>
    </row>
    <row r="38" spans="1:46" ht="15.75">
      <c r="A38" s="43"/>
      <c r="B38" s="43"/>
      <c r="C38" s="43"/>
      <c r="D38" s="43"/>
      <c r="E38" s="43"/>
      <c r="F38" s="142">
        <f t="shared" si="6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125.3985789137722</v>
      </c>
      <c r="T38" s="6">
        <f ca="1">EXP(y_inter3-(slope*LN(S38)))</f>
        <v>10.972040275735807</v>
      </c>
      <c r="U38" s="4">
        <f ca="1">(+S38*T38/100)/100</f>
        <v>0.13758782583619436</v>
      </c>
      <c r="V38" s="4">
        <f>regDebt_weighted</f>
        <v>3.5860000000000003E-2</v>
      </c>
      <c r="W38" s="4">
        <f ca="1">+U38-V38</f>
        <v>0.10172782583619436</v>
      </c>
      <c r="X38" s="4">
        <f ca="1">+((W38*(1-0.34))-Pfd_weighted)/Equity_percent</f>
        <v>0.17718129375548916</v>
      </c>
      <c r="Y38" s="4">
        <f ca="1">+X38*equityP</f>
        <v>0.10630877625329349</v>
      </c>
      <c r="Z38" s="4">
        <f ca="1">+Y38/(1-taxrate)</f>
        <v>0.13456807120670061</v>
      </c>
      <c r="AA38" s="4">
        <f>debtP*Debt_Rate</f>
        <v>2.6000000000000002E-2</v>
      </c>
      <c r="AB38" s="4">
        <f ca="1">+AA38+Z38</f>
        <v>0.16056807120670061</v>
      </c>
      <c r="AC38" s="4">
        <f ca="1">+AB38/(S38/100)</f>
        <v>0.12804616495463797</v>
      </c>
      <c r="AD38" s="4">
        <f ca="1">1-AC38</f>
        <v>0.87195383504536206</v>
      </c>
      <c r="AE38" s="124">
        <f ca="1">expenses/(AD38)</f>
        <v>185796.21452484015</v>
      </c>
      <c r="AF38" s="125">
        <f ca="1">+AE38-Revenue</f>
        <v>-217040.31215741156</v>
      </c>
      <c r="AG38" s="126">
        <f ca="1">+AF38/$J$49</f>
        <v>-255882.0813029634</v>
      </c>
      <c r="AH38" s="126">
        <f ca="1">+AG38*$J$47</f>
        <v>-5143.2298341895639</v>
      </c>
      <c r="AI38" s="124">
        <f t="shared" ca="1" si="12"/>
        <v>180652.98469000001</v>
      </c>
    </row>
    <row r="39" spans="1:46" ht="15.75">
      <c r="A39" s="43"/>
      <c r="B39" s="43"/>
      <c r="C39" s="43"/>
      <c r="D39" s="43"/>
      <c r="E39" s="43"/>
      <c r="F39" s="142">
        <f t="shared" si="6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125.25958801579991</v>
      </c>
      <c r="T39" s="8">
        <f ca="1">EXP(y_inter4-(slope*LN(S39)))</f>
        <v>10.911403544571975</v>
      </c>
      <c r="U39" s="4">
        <f ca="1">(+S39*T39/100)/100</f>
        <v>0.13667579126672244</v>
      </c>
      <c r="V39" s="4">
        <f>regDebt_weighted</f>
        <v>3.5860000000000003E-2</v>
      </c>
      <c r="W39" s="4">
        <f ca="1">+U39-V39</f>
        <v>0.10081579126672244</v>
      </c>
      <c r="X39" s="4">
        <f ca="1">+((W39*(1-0.34))-Pfd_weighted)/Equity_percent</f>
        <v>0.17543145998847909</v>
      </c>
      <c r="Y39" s="4">
        <f ca="1">+X39*equityP</f>
        <v>0.10525887599308745</v>
      </c>
      <c r="Z39" s="4">
        <f ca="1">+Y39/(1-taxrate)</f>
        <v>0.13323908353555372</v>
      </c>
      <c r="AA39" s="4">
        <f>debtP*Debt_Rate</f>
        <v>2.6000000000000002E-2</v>
      </c>
      <c r="AB39" s="4">
        <f ca="1">+AA39+Z39</f>
        <v>0.15923908353555372</v>
      </c>
      <c r="AC39" s="4">
        <f ca="1">+AB39/(S39/100)</f>
        <v>0.12712726112069578</v>
      </c>
      <c r="AD39" s="4">
        <f ca="1">1-AC39</f>
        <v>0.87287273887930428</v>
      </c>
      <c r="AE39" s="124">
        <f ca="1">expenses/(AD39)</f>
        <v>185600.62031476316</v>
      </c>
      <c r="AF39" s="125">
        <f ca="1">+AE39-Revenue</f>
        <v>-217235.90636748855</v>
      </c>
      <c r="AG39" s="126">
        <f ca="1">+AF39/$J$49</f>
        <v>-256112.67926454858</v>
      </c>
      <c r="AH39" s="126">
        <f ca="1">+AG39*$J$47</f>
        <v>-5147.8648532174266</v>
      </c>
      <c r="AI39" s="124">
        <f t="shared" ca="1" si="12"/>
        <v>180452.75545999999</v>
      </c>
    </row>
    <row r="40" spans="1:46" ht="15.75">
      <c r="A40" s="43"/>
      <c r="B40" s="43"/>
      <c r="C40" s="43"/>
      <c r="D40" s="43"/>
      <c r="E40" s="43"/>
      <c r="F40" s="142">
        <f t="shared" si="6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6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6"/>
        <v>36</v>
      </c>
      <c r="G42" s="72"/>
      <c r="H42" s="72"/>
      <c r="I42" s="72"/>
      <c r="J42" s="108" t="s">
        <v>48</v>
      </c>
      <c r="K42" s="200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6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-3838.2167682578952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0.12804616495463797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6"/>
        <v>38</v>
      </c>
      <c r="G44" s="72"/>
      <c r="H44" s="76" t="s">
        <v>63</v>
      </c>
      <c r="I44" s="75"/>
      <c r="J44" s="127">
        <f t="shared" ref="J44:J46" si="13">IF($A$65=TRUE,C12,0)</f>
        <v>5.1000000000000004E-3</v>
      </c>
      <c r="K44" s="128">
        <f ca="1">+J44*($J$7/$J$49)</f>
        <v>-1304.9937012076846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0.87195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6"/>
        <v>39</v>
      </c>
      <c r="G45" s="72"/>
      <c r="H45" s="76" t="s">
        <v>66</v>
      </c>
      <c r="I45" s="75"/>
      <c r="J45" s="127">
        <f t="shared" si="13"/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-0.5515455792463142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6"/>
        <v>40</v>
      </c>
      <c r="G46" s="72"/>
      <c r="H46" s="76" t="s">
        <v>69</v>
      </c>
      <c r="I46" s="75"/>
      <c r="J46" s="127">
        <f t="shared" si="13"/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6"/>
        <v>41</v>
      </c>
      <c r="G47" s="72"/>
      <c r="H47" s="76" t="s">
        <v>71</v>
      </c>
      <c r="I47" s="74"/>
      <c r="J47" s="137">
        <f>SUM(J43:J46)</f>
        <v>2.01E-2</v>
      </c>
      <c r="K47" s="136">
        <f ca="1">+K43+K44+K45+K46</f>
        <v>-5143.21046946558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6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125.3985789137722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6"/>
        <v>43</v>
      </c>
      <c r="G49" s="178"/>
      <c r="H49" s="201" t="s">
        <v>73</v>
      </c>
      <c r="I49" s="100"/>
      <c r="J49" s="202">
        <f ca="1">((K35)-J47)</f>
        <v>0.84820441920838008</v>
      </c>
      <c r="K49" s="100"/>
      <c r="L49" s="100"/>
      <c r="M49" s="100"/>
      <c r="N49" s="100"/>
      <c r="O49" s="43"/>
      <c r="P49" s="43"/>
      <c r="R49" s="149">
        <f ca="1">VLOOKUP(S36,R43:S46,2)</f>
        <v>3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0.87195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Y68" ca="1" si="14">+J33</f>
        <v>0.16514507775011264</v>
      </c>
      <c r="Z63" s="20">
        <f ca="1">+K33</f>
        <v>0.13592461142258899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4"/>
        <v>0.23190846291685441</v>
      </c>
      <c r="Z64" s="20">
        <f t="shared" ref="Z64:Z68" ca="1" si="15">+K34</f>
        <v>0.18320768570431498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4"/>
        <v>0.87194999999999989</v>
      </c>
      <c r="Z65" s="20">
        <f t="shared" ca="1" si="15"/>
        <v>0.86830441920838008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4"/>
        <v>0.12805000000000005</v>
      </c>
      <c r="Z66" s="20">
        <f t="shared" ca="1" si="15"/>
        <v>0.12805000000000005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4"/>
        <v>1.2525958801579991</v>
      </c>
      <c r="Z67" s="20">
        <f t="shared" ca="1" si="15"/>
        <v>1.2525958801579991</v>
      </c>
      <c r="AC67" s="13"/>
      <c r="AH67" s="10"/>
    </row>
    <row r="68" spans="1:38">
      <c r="O68" s="9"/>
      <c r="W68" s="25" t="s">
        <v>58</v>
      </c>
      <c r="X68" s="110"/>
      <c r="Y68" s="20">
        <f t="shared" si="14"/>
        <v>0.21</v>
      </c>
      <c r="Z68" s="20">
        <f t="shared" si="15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AF2:AI2"/>
    <mergeCell ref="B2:C2"/>
    <mergeCell ref="B17:C17"/>
    <mergeCell ref="B18:C18"/>
    <mergeCell ref="B15:C15"/>
    <mergeCell ref="C16:D16"/>
  </mergeCells>
  <pageMargins left="0.25" right="0.25" top="0.3" bottom="0.44" header="0.23" footer="0.21"/>
  <pageSetup scale="99" orientation="portrait" r:id="rId1"/>
  <headerFooter alignWithMargins="0"/>
  <ignoredErrors>
    <ignoredError sqref="K43:K47" unlockedFormula="1"/>
  </ignoredErrors>
  <legacyDrawing r:id="rId2"/>
  <controls>
    <control shapeId="2051" r:id="rId3" name="CheckBox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3"/>
  <sheetViews>
    <sheetView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L72" sqref="L72"/>
    </sheetView>
  </sheetViews>
  <sheetFormatPr defaultColWidth="6.88671875" defaultRowHeight="15.75"/>
  <cols>
    <col min="1" max="1" width="3.5546875" style="207" bestFit="1" customWidth="1"/>
    <col min="2" max="2" width="4.21875" style="207" customWidth="1"/>
    <col min="3" max="3" width="5" style="207" customWidth="1"/>
    <col min="4" max="4" width="21" style="207" bestFit="1" customWidth="1"/>
    <col min="5" max="5" width="9.77734375" style="207" bestFit="1" customWidth="1"/>
    <col min="6" max="6" width="8.44140625" style="207" customWidth="1"/>
    <col min="7" max="7" width="9.5546875" style="207" customWidth="1"/>
    <col min="8" max="8" width="9.44140625" style="207" customWidth="1"/>
    <col min="9" max="9" width="10.6640625" style="207" customWidth="1"/>
    <col min="10" max="10" width="8.88671875" style="207" customWidth="1"/>
    <col min="11" max="11" width="8.109375" style="207" customWidth="1"/>
    <col min="12" max="12" width="10.33203125" style="207" customWidth="1"/>
    <col min="13" max="13" width="8.6640625" style="207" bestFit="1" customWidth="1"/>
    <col min="14" max="14" width="6.88671875" style="207"/>
    <col min="15" max="15" width="7.6640625" style="207" bestFit="1" customWidth="1"/>
    <col min="16" max="16384" width="6.88671875" style="207"/>
  </cols>
  <sheetData>
    <row r="1" spans="1:13">
      <c r="D1" s="208" t="s">
        <v>138</v>
      </c>
    </row>
    <row r="2" spans="1:13">
      <c r="D2" s="208" t="s">
        <v>139</v>
      </c>
    </row>
    <row r="3" spans="1:13">
      <c r="D3" s="208" t="s">
        <v>140</v>
      </c>
      <c r="I3" s="207" t="s">
        <v>141</v>
      </c>
      <c r="J3" s="506">
        <f ca="1">'Current Garbage LG 2018'!M21/'Current Garbage LG 2018'!C5</f>
        <v>5.299231849758633E-2</v>
      </c>
    </row>
    <row r="5" spans="1:13" ht="63">
      <c r="A5" s="210"/>
      <c r="B5" s="211" t="s">
        <v>142</v>
      </c>
      <c r="C5" s="211" t="s">
        <v>143</v>
      </c>
      <c r="D5" s="212" t="s">
        <v>144</v>
      </c>
      <c r="E5" s="211" t="s">
        <v>145</v>
      </c>
      <c r="F5" s="211" t="s">
        <v>146</v>
      </c>
      <c r="G5" s="210" t="s">
        <v>147</v>
      </c>
      <c r="H5" s="213" t="s">
        <v>148</v>
      </c>
      <c r="I5" s="213" t="s">
        <v>149</v>
      </c>
      <c r="J5" s="213" t="s">
        <v>499</v>
      </c>
      <c r="K5" s="213" t="s">
        <v>150</v>
      </c>
      <c r="L5" s="213" t="s">
        <v>151</v>
      </c>
      <c r="M5" s="213" t="s">
        <v>497</v>
      </c>
    </row>
    <row r="6" spans="1:13" ht="15.75" customHeight="1">
      <c r="A6" s="690" t="s">
        <v>153</v>
      </c>
      <c r="B6" s="214">
        <v>100</v>
      </c>
      <c r="C6" s="215">
        <v>24</v>
      </c>
      <c r="D6" s="264" t="s">
        <v>154</v>
      </c>
      <c r="E6" s="216">
        <v>1</v>
      </c>
      <c r="F6" s="265">
        <f>[12]References!$D$7</f>
        <v>4.333333333333333</v>
      </c>
      <c r="G6" s="217">
        <f t="shared" ref="G6:G12" si="0">E6*F6*12</f>
        <v>52</v>
      </c>
      <c r="H6" s="266">
        <v>3.64</v>
      </c>
      <c r="I6" s="267">
        <f t="shared" ref="I6:I12" si="1">E6*H6*12</f>
        <v>43.68</v>
      </c>
      <c r="J6" s="266">
        <f t="shared" ref="J6:J12" ca="1" si="2">($J$3*H6)</f>
        <v>0.19289203933121424</v>
      </c>
      <c r="K6" s="268">
        <f t="shared" ref="K6:K33" ca="1" si="3">J6+H6</f>
        <v>3.8328920393312145</v>
      </c>
      <c r="L6" s="267">
        <f ca="1">K6*E6*12</f>
        <v>45.994704471974572</v>
      </c>
      <c r="M6" s="267">
        <f ca="1">L6-I6</f>
        <v>2.3147044719745722</v>
      </c>
    </row>
    <row r="7" spans="1:13" ht="15" customHeight="1">
      <c r="A7" s="690"/>
      <c r="B7" s="214">
        <v>100</v>
      </c>
      <c r="C7" s="215">
        <v>24</v>
      </c>
      <c r="D7" s="264" t="s">
        <v>155</v>
      </c>
      <c r="E7" s="216">
        <v>119.33</v>
      </c>
      <c r="F7" s="265">
        <f>[12]References!$D$7</f>
        <v>4.333333333333333</v>
      </c>
      <c r="G7" s="217">
        <f t="shared" si="0"/>
        <v>6205.1599999999989</v>
      </c>
      <c r="H7" s="268">
        <v>20.9</v>
      </c>
      <c r="I7" s="269">
        <f t="shared" si="1"/>
        <v>29927.964</v>
      </c>
      <c r="J7" s="266">
        <f t="shared" ca="1" si="2"/>
        <v>1.1075394565995542</v>
      </c>
      <c r="K7" s="268">
        <f t="shared" ca="1" si="3"/>
        <v>22.007539456599552</v>
      </c>
      <c r="L7" s="267">
        <f t="shared" ref="L7:L19" ca="1" si="4">K7*E7*12</f>
        <v>31513.916200272295</v>
      </c>
      <c r="M7" s="267">
        <f t="shared" ref="M7:M34" ca="1" si="5">L7-I7</f>
        <v>1585.9522002722952</v>
      </c>
    </row>
    <row r="8" spans="1:13">
      <c r="A8" s="690"/>
      <c r="B8" s="214">
        <v>100</v>
      </c>
      <c r="C8" s="215"/>
      <c r="D8" s="264" t="s">
        <v>156</v>
      </c>
      <c r="E8" s="216">
        <v>0</v>
      </c>
      <c r="F8" s="265">
        <f>[12]References!$D$7</f>
        <v>4.333333333333333</v>
      </c>
      <c r="G8" s="217">
        <f t="shared" si="0"/>
        <v>0</v>
      </c>
      <c r="H8" s="266"/>
      <c r="I8" s="267">
        <f t="shared" si="1"/>
        <v>0</v>
      </c>
      <c r="J8" s="266">
        <f t="shared" ca="1" si="2"/>
        <v>0</v>
      </c>
      <c r="K8" s="268">
        <f t="shared" ca="1" si="3"/>
        <v>0</v>
      </c>
      <c r="L8" s="267">
        <f t="shared" ca="1" si="4"/>
        <v>0</v>
      </c>
      <c r="M8" s="267">
        <f t="shared" ca="1" si="5"/>
        <v>0</v>
      </c>
    </row>
    <row r="9" spans="1:13">
      <c r="A9" s="690"/>
      <c r="B9" s="214">
        <v>100</v>
      </c>
      <c r="C9" s="215"/>
      <c r="D9" s="264" t="s">
        <v>157</v>
      </c>
      <c r="E9" s="216">
        <v>0</v>
      </c>
      <c r="F9" s="265">
        <f>[12]References!$D$7</f>
        <v>4.333333333333333</v>
      </c>
      <c r="G9" s="217">
        <f t="shared" si="0"/>
        <v>0</v>
      </c>
      <c r="H9" s="266"/>
      <c r="I9" s="267">
        <f t="shared" si="1"/>
        <v>0</v>
      </c>
      <c r="J9" s="266">
        <f t="shared" ca="1" si="2"/>
        <v>0</v>
      </c>
      <c r="K9" s="268">
        <f t="shared" ca="1" si="3"/>
        <v>0</v>
      </c>
      <c r="L9" s="267">
        <f t="shared" ca="1" si="4"/>
        <v>0</v>
      </c>
      <c r="M9" s="267">
        <f t="shared" ca="1" si="5"/>
        <v>0</v>
      </c>
    </row>
    <row r="10" spans="1:13">
      <c r="A10" s="690"/>
      <c r="B10" s="214">
        <v>100</v>
      </c>
      <c r="C10" s="215"/>
      <c r="D10" s="264" t="s">
        <v>158</v>
      </c>
      <c r="E10" s="216">
        <v>0</v>
      </c>
      <c r="F10" s="265">
        <f>[12]References!$D$7</f>
        <v>4.333333333333333</v>
      </c>
      <c r="G10" s="217">
        <f t="shared" si="0"/>
        <v>0</v>
      </c>
      <c r="H10" s="266"/>
      <c r="I10" s="267">
        <f t="shared" si="1"/>
        <v>0</v>
      </c>
      <c r="J10" s="266">
        <f t="shared" ca="1" si="2"/>
        <v>0</v>
      </c>
      <c r="K10" s="268">
        <f t="shared" ca="1" si="3"/>
        <v>0</v>
      </c>
      <c r="L10" s="267">
        <f t="shared" ca="1" si="4"/>
        <v>0</v>
      </c>
      <c r="M10" s="267">
        <f t="shared" ca="1" si="5"/>
        <v>0</v>
      </c>
    </row>
    <row r="11" spans="1:13">
      <c r="A11" s="690"/>
      <c r="B11" s="214">
        <v>100</v>
      </c>
      <c r="C11" s="215"/>
      <c r="D11" s="264" t="s">
        <v>159</v>
      </c>
      <c r="E11" s="216">
        <v>0</v>
      </c>
      <c r="F11" s="265">
        <f>[12]References!$D$7</f>
        <v>4.333333333333333</v>
      </c>
      <c r="G11" s="217">
        <f t="shared" si="0"/>
        <v>0</v>
      </c>
      <c r="H11" s="266"/>
      <c r="I11" s="267">
        <f t="shared" si="1"/>
        <v>0</v>
      </c>
      <c r="J11" s="266">
        <f t="shared" ca="1" si="2"/>
        <v>0</v>
      </c>
      <c r="K11" s="268">
        <f t="shared" ca="1" si="3"/>
        <v>0</v>
      </c>
      <c r="L11" s="267">
        <f t="shared" ca="1" si="4"/>
        <v>0</v>
      </c>
      <c r="M11" s="267">
        <f t="shared" ca="1" si="5"/>
        <v>0</v>
      </c>
    </row>
    <row r="12" spans="1:13">
      <c r="A12" s="690"/>
      <c r="B12" s="214">
        <v>100</v>
      </c>
      <c r="C12" s="215">
        <v>24</v>
      </c>
      <c r="D12" s="264" t="s">
        <v>160</v>
      </c>
      <c r="E12" s="216">
        <v>4.5</v>
      </c>
      <c r="F12" s="265">
        <f>[12]References!$D$8</f>
        <v>2.1666666666666665</v>
      </c>
      <c r="G12" s="217">
        <f t="shared" si="0"/>
        <v>117</v>
      </c>
      <c r="H12" s="266">
        <v>5.63</v>
      </c>
      <c r="I12" s="267">
        <f t="shared" si="1"/>
        <v>304.02</v>
      </c>
      <c r="J12" s="266">
        <f t="shared" ca="1" si="2"/>
        <v>0.29834675314141101</v>
      </c>
      <c r="K12" s="268">
        <f t="shared" ca="1" si="3"/>
        <v>5.9283467531414109</v>
      </c>
      <c r="L12" s="267">
        <f t="shared" ca="1" si="4"/>
        <v>320.13072466963621</v>
      </c>
      <c r="M12" s="267">
        <f t="shared" ca="1" si="5"/>
        <v>16.110724669636227</v>
      </c>
    </row>
    <row r="13" spans="1:13">
      <c r="A13" s="690"/>
      <c r="B13" s="214"/>
      <c r="C13" s="215"/>
      <c r="D13" s="264"/>
      <c r="E13" s="216"/>
      <c r="F13" s="265"/>
      <c r="G13" s="217"/>
      <c r="H13" s="266"/>
      <c r="I13" s="267"/>
      <c r="J13" s="266"/>
      <c r="K13" s="268">
        <f t="shared" si="3"/>
        <v>0</v>
      </c>
      <c r="L13" s="267">
        <f t="shared" si="4"/>
        <v>0</v>
      </c>
      <c r="M13" s="267">
        <f t="shared" si="5"/>
        <v>0</v>
      </c>
    </row>
    <row r="14" spans="1:13">
      <c r="A14" s="690"/>
      <c r="B14" s="214">
        <v>100</v>
      </c>
      <c r="C14" s="215">
        <v>24</v>
      </c>
      <c r="D14" s="264" t="s">
        <v>161</v>
      </c>
      <c r="E14" s="216">
        <v>115.25</v>
      </c>
      <c r="F14" s="265">
        <f>[12]References!$D$8</f>
        <v>2.1666666666666665</v>
      </c>
      <c r="G14" s="217">
        <f t="shared" ref="G14:G19" si="6">E14*F14*12</f>
        <v>2996.5</v>
      </c>
      <c r="H14" s="266">
        <v>10.8</v>
      </c>
      <c r="I14" s="267">
        <f>E14*H14*12</f>
        <v>14936.400000000001</v>
      </c>
      <c r="J14" s="266">
        <f t="shared" ref="J14:J19" ca="1" si="7">($J$3*H14)</f>
        <v>0.57231703977393245</v>
      </c>
      <c r="K14" s="502">
        <f t="shared" ca="1" si="3"/>
        <v>11.372317039773932</v>
      </c>
      <c r="L14" s="267">
        <f t="shared" ca="1" si="4"/>
        <v>15727.914466007351</v>
      </c>
      <c r="M14" s="267">
        <f t="shared" ca="1" si="5"/>
        <v>791.51446600734926</v>
      </c>
    </row>
    <row r="15" spans="1:13">
      <c r="A15" s="690"/>
      <c r="B15" s="214">
        <v>100</v>
      </c>
      <c r="C15" s="215">
        <v>24</v>
      </c>
      <c r="D15" s="264" t="s">
        <v>162</v>
      </c>
      <c r="E15" s="216">
        <v>41.83</v>
      </c>
      <c r="F15" s="265">
        <f>[12]References!$D$9</f>
        <v>1</v>
      </c>
      <c r="G15" s="217">
        <f t="shared" si="6"/>
        <v>501.96</v>
      </c>
      <c r="H15" s="266">
        <v>6.37</v>
      </c>
      <c r="I15" s="267">
        <f>E15*H15*12</f>
        <v>3197.4851999999996</v>
      </c>
      <c r="J15" s="266">
        <f t="shared" ca="1" si="7"/>
        <v>0.33756106882962494</v>
      </c>
      <c r="K15" s="268">
        <f t="shared" ca="1" si="3"/>
        <v>6.7075610688296248</v>
      </c>
      <c r="L15" s="267">
        <f t="shared" ca="1" si="4"/>
        <v>3366.9273541097182</v>
      </c>
      <c r="M15" s="267">
        <f t="shared" ca="1" si="5"/>
        <v>169.44215410971856</v>
      </c>
    </row>
    <row r="16" spans="1:13" ht="14.45" customHeight="1">
      <c r="A16" s="690"/>
      <c r="B16" s="214">
        <v>100</v>
      </c>
      <c r="C16" s="215">
        <v>31</v>
      </c>
      <c r="D16" s="264" t="s">
        <v>163</v>
      </c>
      <c r="E16" s="216">
        <v>0</v>
      </c>
      <c r="F16" s="265">
        <f>[12]References!$D$9</f>
        <v>1</v>
      </c>
      <c r="G16" s="217">
        <f t="shared" si="6"/>
        <v>0</v>
      </c>
      <c r="H16" s="266"/>
      <c r="I16" s="267">
        <f>G16*H16</f>
        <v>0</v>
      </c>
      <c r="J16" s="266">
        <f t="shared" ca="1" si="7"/>
        <v>0</v>
      </c>
      <c r="K16" s="268">
        <f t="shared" ca="1" si="3"/>
        <v>0</v>
      </c>
      <c r="L16" s="267">
        <f t="shared" ca="1" si="4"/>
        <v>0</v>
      </c>
      <c r="M16" s="267">
        <f t="shared" ca="1" si="5"/>
        <v>0</v>
      </c>
    </row>
    <row r="17" spans="1:15">
      <c r="A17" s="690"/>
      <c r="B17" s="214">
        <v>100</v>
      </c>
      <c r="C17" s="215">
        <v>31</v>
      </c>
      <c r="D17" s="264" t="s">
        <v>164</v>
      </c>
      <c r="E17" s="216">
        <v>0</v>
      </c>
      <c r="F17" s="265">
        <f>[12]References!$D$7</f>
        <v>4.333333333333333</v>
      </c>
      <c r="G17" s="217">
        <f t="shared" si="6"/>
        <v>0</v>
      </c>
      <c r="H17" s="266"/>
      <c r="I17" s="267">
        <f>G17*H17</f>
        <v>0</v>
      </c>
      <c r="J17" s="266">
        <f t="shared" ca="1" si="7"/>
        <v>0</v>
      </c>
      <c r="K17" s="268">
        <f t="shared" ca="1" si="3"/>
        <v>0</v>
      </c>
      <c r="L17" s="267">
        <f t="shared" ca="1" si="4"/>
        <v>0</v>
      </c>
      <c r="M17" s="267">
        <f t="shared" ca="1" si="5"/>
        <v>0</v>
      </c>
    </row>
    <row r="18" spans="1:15">
      <c r="A18" s="690"/>
      <c r="B18" s="214">
        <v>100</v>
      </c>
      <c r="C18" s="215">
        <v>23</v>
      </c>
      <c r="D18" s="264" t="s">
        <v>165</v>
      </c>
      <c r="E18" s="216">
        <v>0</v>
      </c>
      <c r="F18" s="265">
        <f>[12]References!$D$9</f>
        <v>1</v>
      </c>
      <c r="G18" s="217">
        <f t="shared" si="6"/>
        <v>0</v>
      </c>
      <c r="H18" s="266"/>
      <c r="I18" s="267">
        <f>E18*H18*12</f>
        <v>0</v>
      </c>
      <c r="J18" s="266">
        <f t="shared" ca="1" si="7"/>
        <v>0</v>
      </c>
      <c r="K18" s="268">
        <f t="shared" ca="1" si="3"/>
        <v>0</v>
      </c>
      <c r="L18" s="267">
        <f t="shared" ca="1" si="4"/>
        <v>0</v>
      </c>
      <c r="M18" s="267">
        <f t="shared" ca="1" si="5"/>
        <v>0</v>
      </c>
    </row>
    <row r="19" spans="1:15">
      <c r="A19" s="690"/>
      <c r="B19" s="218">
        <v>100</v>
      </c>
      <c r="C19" s="219">
        <v>23</v>
      </c>
      <c r="D19" s="270" t="s">
        <v>166</v>
      </c>
      <c r="E19" s="220">
        <v>0</v>
      </c>
      <c r="F19" s="265">
        <f>[12]References!$D$7</f>
        <v>4.333333333333333</v>
      </c>
      <c r="G19" s="221">
        <f t="shared" si="6"/>
        <v>0</v>
      </c>
      <c r="H19" s="271"/>
      <c r="I19" s="272">
        <f>E19*H19*12</f>
        <v>0</v>
      </c>
      <c r="J19" s="271">
        <f t="shared" ca="1" si="7"/>
        <v>0</v>
      </c>
      <c r="K19" s="268">
        <f t="shared" ca="1" si="3"/>
        <v>0</v>
      </c>
      <c r="L19" s="267">
        <f t="shared" ca="1" si="4"/>
        <v>0</v>
      </c>
      <c r="M19" s="267">
        <f t="shared" ca="1" si="5"/>
        <v>0</v>
      </c>
    </row>
    <row r="20" spans="1:15">
      <c r="A20" s="691"/>
      <c r="B20" s="222"/>
      <c r="C20" s="215"/>
      <c r="D20" s="273" t="s">
        <v>103</v>
      </c>
      <c r="E20" s="223">
        <f>SUM(E7:E19)</f>
        <v>280.90999999999997</v>
      </c>
      <c r="F20" s="274"/>
      <c r="G20" s="224">
        <f>SUM(G6:G19)</f>
        <v>9872.619999999999</v>
      </c>
      <c r="H20" s="265"/>
      <c r="I20" s="225">
        <f>SUM(I7:I19)</f>
        <v>48365.869200000008</v>
      </c>
      <c r="J20" s="275"/>
      <c r="K20" s="274"/>
      <c r="L20" s="248">
        <f ca="1">SUM(L7:L19)</f>
        <v>50928.888745059005</v>
      </c>
      <c r="M20" s="542">
        <f t="shared" ca="1" si="5"/>
        <v>2563.0195450589963</v>
      </c>
    </row>
    <row r="21" spans="1:15" ht="14.45" customHeight="1">
      <c r="A21" s="692" t="s">
        <v>167</v>
      </c>
      <c r="B21" s="214"/>
      <c r="C21" s="226"/>
      <c r="D21" s="276" t="s">
        <v>155</v>
      </c>
      <c r="E21" s="227"/>
      <c r="F21" s="265">
        <f>[12]References!$D$7</f>
        <v>4.333333333333333</v>
      </c>
      <c r="G21" s="228">
        <f t="shared" ref="G21:G26" si="8">E21*F21*12</f>
        <v>0</v>
      </c>
      <c r="H21" s="277"/>
      <c r="I21" s="278">
        <f t="shared" ref="I21:I26" si="9">E21*H21*12</f>
        <v>0</v>
      </c>
      <c r="J21" s="266">
        <f t="shared" ref="J21:J33" ca="1" si="10">($J$3*H21)</f>
        <v>0</v>
      </c>
      <c r="K21" s="268">
        <f t="shared" ca="1" si="3"/>
        <v>0</v>
      </c>
      <c r="L21" s="267">
        <f ca="1">K21*G21</f>
        <v>0</v>
      </c>
      <c r="M21" s="267">
        <f t="shared" ca="1" si="5"/>
        <v>0</v>
      </c>
    </row>
    <row r="22" spans="1:15">
      <c r="A22" s="690"/>
      <c r="B22" s="214"/>
      <c r="C22" s="215"/>
      <c r="D22" s="264" t="s">
        <v>156</v>
      </c>
      <c r="E22" s="216"/>
      <c r="F22" s="265">
        <f>[12]References!$D$7</f>
        <v>4.333333333333333</v>
      </c>
      <c r="G22" s="217">
        <f t="shared" si="8"/>
        <v>0</v>
      </c>
      <c r="H22" s="266"/>
      <c r="I22" s="267">
        <f t="shared" si="9"/>
        <v>0</v>
      </c>
      <c r="J22" s="266">
        <f t="shared" ca="1" si="10"/>
        <v>0</v>
      </c>
      <c r="K22" s="268">
        <f t="shared" ca="1" si="3"/>
        <v>0</v>
      </c>
      <c r="L22" s="267">
        <f t="shared" ref="L22:L33" ca="1" si="11">K22*G22</f>
        <v>0</v>
      </c>
      <c r="M22" s="267">
        <f t="shared" ca="1" si="5"/>
        <v>0</v>
      </c>
    </row>
    <row r="23" spans="1:15">
      <c r="A23" s="690"/>
      <c r="B23" s="214"/>
      <c r="C23" s="215"/>
      <c r="D23" s="264" t="s">
        <v>157</v>
      </c>
      <c r="E23" s="216"/>
      <c r="F23" s="265">
        <f>[12]References!$D$7</f>
        <v>4.333333333333333</v>
      </c>
      <c r="G23" s="217">
        <f t="shared" si="8"/>
        <v>0</v>
      </c>
      <c r="H23" s="266"/>
      <c r="I23" s="267">
        <f t="shared" si="9"/>
        <v>0</v>
      </c>
      <c r="J23" s="266">
        <f t="shared" ca="1" si="10"/>
        <v>0</v>
      </c>
      <c r="K23" s="268">
        <f t="shared" ca="1" si="3"/>
        <v>0</v>
      </c>
      <c r="L23" s="267">
        <f t="shared" ca="1" si="11"/>
        <v>0</v>
      </c>
      <c r="M23" s="267">
        <f t="shared" ca="1" si="5"/>
        <v>0</v>
      </c>
    </row>
    <row r="24" spans="1:15">
      <c r="A24" s="690"/>
      <c r="B24" s="214"/>
      <c r="C24" s="215"/>
      <c r="D24" s="264" t="s">
        <v>161</v>
      </c>
      <c r="E24" s="216"/>
      <c r="F24" s="265">
        <f>[12]References!$D$8</f>
        <v>2.1666666666666665</v>
      </c>
      <c r="G24" s="217">
        <f t="shared" si="8"/>
        <v>0</v>
      </c>
      <c r="H24" s="266"/>
      <c r="I24" s="267">
        <f t="shared" si="9"/>
        <v>0</v>
      </c>
      <c r="J24" s="266">
        <f t="shared" ca="1" si="10"/>
        <v>0</v>
      </c>
      <c r="K24" s="268">
        <f t="shared" ca="1" si="3"/>
        <v>0</v>
      </c>
      <c r="L24" s="267">
        <f t="shared" ca="1" si="11"/>
        <v>0</v>
      </c>
      <c r="M24" s="267">
        <f t="shared" ca="1" si="5"/>
        <v>0</v>
      </c>
    </row>
    <row r="25" spans="1:15">
      <c r="A25" s="690"/>
      <c r="B25" s="214"/>
      <c r="C25" s="215"/>
      <c r="D25" s="264" t="s">
        <v>168</v>
      </c>
      <c r="E25" s="216"/>
      <c r="F25" s="265">
        <f>[12]References!$D$8</f>
        <v>2.1666666666666665</v>
      </c>
      <c r="G25" s="217">
        <f t="shared" si="8"/>
        <v>0</v>
      </c>
      <c r="H25" s="266"/>
      <c r="I25" s="267">
        <f t="shared" si="9"/>
        <v>0</v>
      </c>
      <c r="J25" s="266">
        <f t="shared" ca="1" si="10"/>
        <v>0</v>
      </c>
      <c r="K25" s="268">
        <f t="shared" ca="1" si="3"/>
        <v>0</v>
      </c>
      <c r="L25" s="267">
        <f t="shared" ca="1" si="11"/>
        <v>0</v>
      </c>
      <c r="M25" s="267">
        <f t="shared" ca="1" si="5"/>
        <v>0</v>
      </c>
    </row>
    <row r="26" spans="1:15">
      <c r="A26" s="690"/>
      <c r="B26" s="214"/>
      <c r="C26" s="215"/>
      <c r="D26" s="264" t="s">
        <v>475</v>
      </c>
      <c r="E26" s="216"/>
      <c r="F26" s="265">
        <v>1</v>
      </c>
      <c r="G26" s="217">
        <f t="shared" si="8"/>
        <v>0</v>
      </c>
      <c r="H26" s="266"/>
      <c r="I26" s="267">
        <f t="shared" si="9"/>
        <v>0</v>
      </c>
      <c r="J26" s="266">
        <f t="shared" ca="1" si="10"/>
        <v>0</v>
      </c>
      <c r="K26" s="268">
        <f t="shared" ca="1" si="3"/>
        <v>0</v>
      </c>
      <c r="L26" s="267">
        <f t="shared" ca="1" si="11"/>
        <v>0</v>
      </c>
      <c r="M26" s="267">
        <f t="shared" ca="1" si="5"/>
        <v>0</v>
      </c>
    </row>
    <row r="27" spans="1:15">
      <c r="A27" s="690"/>
      <c r="B27" s="214">
        <v>240</v>
      </c>
      <c r="C27" s="215">
        <v>38</v>
      </c>
      <c r="D27" s="264" t="s">
        <v>169</v>
      </c>
      <c r="E27" s="216"/>
      <c r="F27" s="265">
        <v>1</v>
      </c>
      <c r="G27" s="564">
        <f>('Income Statement'!R11-'Current Price out'!I33-I47)/34.45</f>
        <v>1714.4486357394046</v>
      </c>
      <c r="H27" s="266">
        <v>34.450000000000003</v>
      </c>
      <c r="I27" s="267">
        <f t="shared" ref="I27:I33" si="12">G27*H27</f>
        <v>59062.755501222491</v>
      </c>
      <c r="J27" s="266">
        <f t="shared" ca="1" si="10"/>
        <v>1.8255853722418491</v>
      </c>
      <c r="K27" s="268">
        <f t="shared" ca="1" si="3"/>
        <v>36.275585372241849</v>
      </c>
      <c r="L27" s="267">
        <f t="shared" ca="1" si="11"/>
        <v>62192.627852088342</v>
      </c>
      <c r="M27" s="267">
        <f t="shared" ca="1" si="5"/>
        <v>3129.8723508658513</v>
      </c>
    </row>
    <row r="28" spans="1:15">
      <c r="A28" s="690"/>
      <c r="B28" s="214"/>
      <c r="C28" s="215"/>
      <c r="D28" s="264" t="s">
        <v>170</v>
      </c>
      <c r="E28" s="216"/>
      <c r="F28" s="265">
        <f>[12]References!G7</f>
        <v>17.333333333333332</v>
      </c>
      <c r="G28" s="217">
        <f t="shared" ref="G28:G33" si="13">E28*F28*12</f>
        <v>0</v>
      </c>
      <c r="H28" s="266">
        <v>0</v>
      </c>
      <c r="I28" s="267">
        <f t="shared" si="12"/>
        <v>0</v>
      </c>
      <c r="J28" s="266">
        <f t="shared" ca="1" si="10"/>
        <v>0</v>
      </c>
      <c r="K28" s="268">
        <f t="shared" ca="1" si="3"/>
        <v>0</v>
      </c>
      <c r="L28" s="267">
        <f t="shared" ca="1" si="11"/>
        <v>0</v>
      </c>
      <c r="M28" s="267">
        <f t="shared" ca="1" si="5"/>
        <v>0</v>
      </c>
      <c r="O28" s="236"/>
    </row>
    <row r="29" spans="1:15" ht="18">
      <c r="A29" s="690"/>
      <c r="B29" s="214"/>
      <c r="C29" s="215"/>
      <c r="D29" s="264" t="s">
        <v>171</v>
      </c>
      <c r="E29" s="216"/>
      <c r="F29" s="265">
        <f>[12]References!$D$8</f>
        <v>2.1666666666666665</v>
      </c>
      <c r="G29" s="217">
        <f t="shared" si="13"/>
        <v>0</v>
      </c>
      <c r="H29" s="266">
        <v>0</v>
      </c>
      <c r="I29" s="267">
        <f t="shared" si="12"/>
        <v>0</v>
      </c>
      <c r="J29" s="266">
        <f t="shared" ca="1" si="10"/>
        <v>0</v>
      </c>
      <c r="K29" s="268">
        <f t="shared" ca="1" si="3"/>
        <v>0</v>
      </c>
      <c r="L29" s="267">
        <f t="shared" ca="1" si="11"/>
        <v>0</v>
      </c>
      <c r="M29" s="267">
        <f t="shared" ca="1" si="5"/>
        <v>0</v>
      </c>
      <c r="O29" s="437"/>
    </row>
    <row r="30" spans="1:15">
      <c r="A30" s="690"/>
      <c r="B30" s="214"/>
      <c r="C30" s="215"/>
      <c r="D30" s="264" t="s">
        <v>172</v>
      </c>
      <c r="E30" s="216"/>
      <c r="F30" s="229">
        <f>[12]References!$D$6</f>
        <v>8.6666666666666661</v>
      </c>
      <c r="G30" s="217">
        <f t="shared" si="13"/>
        <v>0</v>
      </c>
      <c r="H30" s="266">
        <v>0</v>
      </c>
      <c r="I30" s="267">
        <f t="shared" si="12"/>
        <v>0</v>
      </c>
      <c r="J30" s="266">
        <f t="shared" ca="1" si="10"/>
        <v>0</v>
      </c>
      <c r="K30" s="268">
        <f t="shared" ca="1" si="3"/>
        <v>0</v>
      </c>
      <c r="L30" s="267">
        <f t="shared" ca="1" si="11"/>
        <v>0</v>
      </c>
      <c r="M30" s="267">
        <f t="shared" ca="1" si="5"/>
        <v>0</v>
      </c>
      <c r="O30" s="236"/>
    </row>
    <row r="31" spans="1:15">
      <c r="A31" s="690"/>
      <c r="B31" s="214"/>
      <c r="C31" s="215"/>
      <c r="D31" s="264" t="s">
        <v>173</v>
      </c>
      <c r="E31" s="216"/>
      <c r="F31" s="229">
        <f>[12]References!E6</f>
        <v>17.333333333333332</v>
      </c>
      <c r="G31" s="217">
        <f t="shared" si="13"/>
        <v>0</v>
      </c>
      <c r="H31" s="266">
        <v>0</v>
      </c>
      <c r="I31" s="267">
        <f t="shared" si="12"/>
        <v>0</v>
      </c>
      <c r="J31" s="266">
        <f t="shared" ca="1" si="10"/>
        <v>0</v>
      </c>
      <c r="K31" s="268">
        <f t="shared" ca="1" si="3"/>
        <v>0</v>
      </c>
      <c r="L31" s="267">
        <f t="shared" ca="1" si="11"/>
        <v>0</v>
      </c>
      <c r="M31" s="267">
        <f t="shared" ca="1" si="5"/>
        <v>0</v>
      </c>
    </row>
    <row r="32" spans="1:15">
      <c r="A32" s="690"/>
      <c r="B32" s="214"/>
      <c r="C32" s="215"/>
      <c r="D32" s="264" t="s">
        <v>174</v>
      </c>
      <c r="E32" s="216"/>
      <c r="F32" s="229">
        <f>[12]References!F6</f>
        <v>26</v>
      </c>
      <c r="G32" s="217">
        <f t="shared" si="13"/>
        <v>0</v>
      </c>
      <c r="H32" s="266">
        <v>0</v>
      </c>
      <c r="I32" s="267">
        <f t="shared" si="12"/>
        <v>0</v>
      </c>
      <c r="J32" s="266">
        <f t="shared" ca="1" si="10"/>
        <v>0</v>
      </c>
      <c r="K32" s="268">
        <f t="shared" ca="1" si="3"/>
        <v>0</v>
      </c>
      <c r="L32" s="267">
        <f t="shared" ca="1" si="11"/>
        <v>0</v>
      </c>
      <c r="M32" s="267">
        <f t="shared" ca="1" si="5"/>
        <v>0</v>
      </c>
    </row>
    <row r="33" spans="1:13">
      <c r="A33" s="690"/>
      <c r="B33" s="218"/>
      <c r="C33" s="219"/>
      <c r="D33" s="270" t="s">
        <v>175</v>
      </c>
      <c r="E33" s="557">
        <v>40</v>
      </c>
      <c r="F33" s="558">
        <f>[12]References!$D$9</f>
        <v>1</v>
      </c>
      <c r="G33" s="559">
        <f t="shared" si="13"/>
        <v>480</v>
      </c>
      <c r="H33" s="560">
        <f>H27</f>
        <v>34.450000000000003</v>
      </c>
      <c r="I33" s="561">
        <f t="shared" si="12"/>
        <v>16536</v>
      </c>
      <c r="J33" s="560">
        <f t="shared" ca="1" si="10"/>
        <v>1.8255853722418491</v>
      </c>
      <c r="K33" s="562">
        <f t="shared" ca="1" si="3"/>
        <v>36.275585372241849</v>
      </c>
      <c r="L33" s="267">
        <f t="shared" ca="1" si="11"/>
        <v>17412.280978676088</v>
      </c>
      <c r="M33" s="267">
        <f t="shared" ca="1" si="5"/>
        <v>876.28097867608813</v>
      </c>
    </row>
    <row r="34" spans="1:13">
      <c r="A34" s="690"/>
      <c r="B34" s="230"/>
      <c r="C34" s="231"/>
      <c r="D34" s="279" t="s">
        <v>103</v>
      </c>
      <c r="E34" s="232">
        <f>SUM(E21:E33)</f>
        <v>40</v>
      </c>
      <c r="F34" s="280"/>
      <c r="G34" s="233">
        <f>SUM(G21:G33)</f>
        <v>2194.4486357394044</v>
      </c>
      <c r="H34" s="280"/>
      <c r="I34" s="546">
        <f>SUM(I21:I33)</f>
        <v>75598.755501222491</v>
      </c>
      <c r="J34" s="275"/>
      <c r="K34" s="280"/>
      <c r="L34" s="248">
        <f ca="1">SUM(L21:L33)</f>
        <v>79604.908830764427</v>
      </c>
      <c r="M34" s="542">
        <f t="shared" ca="1" si="5"/>
        <v>4006.1533295419358</v>
      </c>
    </row>
    <row r="35" spans="1:13">
      <c r="A35" s="691"/>
      <c r="B35" s="235"/>
      <c r="C35" s="231"/>
      <c r="D35" s="281" t="s">
        <v>176</v>
      </c>
      <c r="I35" s="236"/>
      <c r="J35" s="266">
        <f ca="1">($J$3*H35)</f>
        <v>0</v>
      </c>
      <c r="L35" s="236"/>
      <c r="M35" s="236"/>
    </row>
    <row r="36" spans="1:13" ht="24" customHeight="1">
      <c r="A36" s="235"/>
      <c r="B36" s="214">
        <v>100</v>
      </c>
      <c r="C36" s="215">
        <v>25</v>
      </c>
      <c r="D36" s="264" t="s">
        <v>177</v>
      </c>
      <c r="E36" s="216">
        <v>0</v>
      </c>
      <c r="F36" s="265"/>
      <c r="G36" s="217">
        <v>2276</v>
      </c>
      <c r="H36" s="266">
        <v>4.62</v>
      </c>
      <c r="I36" s="267">
        <f>H36*G36</f>
        <v>10515.12</v>
      </c>
      <c r="J36" s="266">
        <f ca="1">($J$3*H36)</f>
        <v>0.24482451145884884</v>
      </c>
      <c r="K36" s="268">
        <f t="shared" ref="K36:K46" ca="1" si="14">J36+H36</f>
        <v>4.8648245114588491</v>
      </c>
      <c r="L36" s="267">
        <f ca="1">K36*G36</f>
        <v>11072.34058808034</v>
      </c>
      <c r="M36" s="267">
        <f t="shared" ref="M36:M41" ca="1" si="15">L36-I36</f>
        <v>557.22058808033944</v>
      </c>
    </row>
    <row r="37" spans="1:13" ht="14.45" customHeight="1">
      <c r="A37" s="692" t="s">
        <v>153</v>
      </c>
      <c r="B37" s="214">
        <v>100</v>
      </c>
      <c r="C37" s="215">
        <v>24</v>
      </c>
      <c r="D37" s="264" t="s">
        <v>178</v>
      </c>
      <c r="E37" s="237">
        <v>0</v>
      </c>
      <c r="F37" s="282"/>
      <c r="G37" s="217">
        <v>1472</v>
      </c>
      <c r="H37" s="283">
        <v>6.15</v>
      </c>
      <c r="I37" s="563">
        <f>H37*G37</f>
        <v>9052.8000000000011</v>
      </c>
      <c r="J37" s="266">
        <f ca="1">($J$3*H37)</f>
        <v>0.32590275876015595</v>
      </c>
      <c r="K37" s="268">
        <f t="shared" ca="1" si="14"/>
        <v>6.4759027587601565</v>
      </c>
      <c r="L37" s="267">
        <f ca="1">K37*G37</f>
        <v>9532.5288608949504</v>
      </c>
      <c r="M37" s="267">
        <f t="shared" ca="1" si="15"/>
        <v>479.72886089494932</v>
      </c>
    </row>
    <row r="38" spans="1:13">
      <c r="A38" s="690"/>
      <c r="B38" s="214">
        <v>55</v>
      </c>
      <c r="C38" s="215">
        <v>19</v>
      </c>
      <c r="D38" s="264" t="s">
        <v>179</v>
      </c>
      <c r="E38" s="237"/>
      <c r="F38" s="282"/>
      <c r="G38" s="217">
        <v>217</v>
      </c>
      <c r="H38" s="283">
        <v>4.62</v>
      </c>
      <c r="I38" s="563">
        <f>H38*G38</f>
        <v>1002.5400000000001</v>
      </c>
      <c r="J38" s="266">
        <f ca="1">($J$3*H38)</f>
        <v>0.24482451145884884</v>
      </c>
      <c r="K38" s="268">
        <f t="shared" ca="1" si="14"/>
        <v>4.8648245114588491</v>
      </c>
      <c r="L38" s="267">
        <f ca="1">K38*G38</f>
        <v>1055.6669189865702</v>
      </c>
      <c r="M38" s="267">
        <f t="shared" ca="1" si="15"/>
        <v>53.126918986570104</v>
      </c>
    </row>
    <row r="39" spans="1:13">
      <c r="A39" s="690"/>
      <c r="B39" s="214"/>
      <c r="C39" s="215"/>
      <c r="D39" s="264"/>
      <c r="E39" s="237"/>
      <c r="F39" s="282"/>
      <c r="G39" s="217"/>
      <c r="H39" s="283"/>
      <c r="I39" s="267"/>
      <c r="J39" s="266"/>
      <c r="K39" s="268"/>
      <c r="L39" s="267"/>
      <c r="M39" s="267">
        <f t="shared" si="15"/>
        <v>0</v>
      </c>
    </row>
    <row r="40" spans="1:13">
      <c r="A40" s="690"/>
      <c r="B40" s="214">
        <v>100</v>
      </c>
      <c r="C40" s="215">
        <v>25</v>
      </c>
      <c r="D40" s="264" t="s">
        <v>180</v>
      </c>
      <c r="E40" s="237">
        <v>0</v>
      </c>
      <c r="F40" s="282"/>
      <c r="G40" s="217">
        <v>4</v>
      </c>
      <c r="H40" s="283">
        <v>3.64</v>
      </c>
      <c r="I40" s="267">
        <f>H40*G40</f>
        <v>14.56</v>
      </c>
      <c r="J40" s="266">
        <f ca="1">($J$3*H40)</f>
        <v>0.19289203933121424</v>
      </c>
      <c r="K40" s="268">
        <f t="shared" ca="1" si="14"/>
        <v>3.8328920393312145</v>
      </c>
      <c r="L40" s="267">
        <f ca="1">K40*G40</f>
        <v>15.331568157324858</v>
      </c>
      <c r="M40" s="267">
        <f t="shared" ca="1" si="15"/>
        <v>0.7715681573248574</v>
      </c>
    </row>
    <row r="41" spans="1:13">
      <c r="A41" s="691"/>
      <c r="B41" s="218">
        <v>100</v>
      </c>
      <c r="C41" s="219">
        <v>25</v>
      </c>
      <c r="D41" s="270" t="s">
        <v>180</v>
      </c>
      <c r="E41" s="211">
        <v>0</v>
      </c>
      <c r="F41" s="284"/>
      <c r="G41" s="221">
        <v>4</v>
      </c>
      <c r="H41" s="285">
        <v>3.64</v>
      </c>
      <c r="I41" s="272">
        <f>H41*G41</f>
        <v>14.56</v>
      </c>
      <c r="J41" s="271">
        <f ca="1">($J$3*H41)</f>
        <v>0.19289203933121424</v>
      </c>
      <c r="K41" s="268">
        <f t="shared" ca="1" si="14"/>
        <v>3.8328920393312145</v>
      </c>
      <c r="L41" s="272">
        <f ca="1">K41*G41</f>
        <v>15.331568157324858</v>
      </c>
      <c r="M41" s="267">
        <f t="shared" ca="1" si="15"/>
        <v>0.7715681573248574</v>
      </c>
    </row>
    <row r="42" spans="1:13" ht="14.45" customHeight="1">
      <c r="A42" s="692" t="s">
        <v>167</v>
      </c>
      <c r="B42" s="222"/>
      <c r="C42" s="215"/>
      <c r="D42" s="273" t="s">
        <v>103</v>
      </c>
      <c r="E42" s="238"/>
      <c r="F42" s="238"/>
      <c r="G42" s="239">
        <f>SUM(G36:G41)</f>
        <v>3973</v>
      </c>
      <c r="H42" s="240"/>
      <c r="I42" s="241">
        <f>SUM(I36:I41)</f>
        <v>20599.580000000005</v>
      </c>
      <c r="J42" s="271"/>
      <c r="K42" s="242"/>
      <c r="L42" s="243">
        <f ca="1">SUM(L36:L41)</f>
        <v>21691.199504276512</v>
      </c>
      <c r="M42" s="243">
        <f ca="1">SUM(M36:M41)</f>
        <v>1091.6195042765089</v>
      </c>
    </row>
    <row r="43" spans="1:13">
      <c r="A43" s="690"/>
      <c r="B43" s="214">
        <v>100</v>
      </c>
      <c r="C43" s="226">
        <v>22</v>
      </c>
      <c r="D43" s="276" t="s">
        <v>181</v>
      </c>
      <c r="E43" s="227">
        <v>0</v>
      </c>
      <c r="F43" s="286"/>
      <c r="G43" s="228">
        <f>166/5.53</f>
        <v>30.018083182640144</v>
      </c>
      <c r="H43" s="277">
        <v>0</v>
      </c>
      <c r="I43" s="267">
        <f>H43*G43</f>
        <v>0</v>
      </c>
      <c r="J43" s="266">
        <f ca="1">($J$3*H43)</f>
        <v>0</v>
      </c>
      <c r="K43" s="268">
        <f t="shared" ca="1" si="14"/>
        <v>0</v>
      </c>
      <c r="L43" s="267">
        <f ca="1">K43*G43</f>
        <v>0</v>
      </c>
      <c r="M43" s="267">
        <f ca="1">L43-I43</f>
        <v>0</v>
      </c>
    </row>
    <row r="44" spans="1:13">
      <c r="A44" s="690"/>
      <c r="B44" s="214">
        <v>100</v>
      </c>
      <c r="C44" s="215">
        <v>22</v>
      </c>
      <c r="D44" s="264" t="s">
        <v>182</v>
      </c>
      <c r="E44" s="216">
        <v>1513</v>
      </c>
      <c r="F44" s="265"/>
      <c r="G44" s="217">
        <f>7628/32.72</f>
        <v>233.12958435207824</v>
      </c>
      <c r="H44" s="266">
        <v>39.700000000000003</v>
      </c>
      <c r="I44" s="267">
        <f>H44*G44</f>
        <v>9255.244498777507</v>
      </c>
      <c r="J44" s="266">
        <f ca="1">($J$3*H44)</f>
        <v>2.1037950443541775</v>
      </c>
      <c r="K44" s="268">
        <f t="shared" ca="1" si="14"/>
        <v>41.803795044354182</v>
      </c>
      <c r="L44" s="267">
        <f ca="1">K44*G44</f>
        <v>9745.7013630297588</v>
      </c>
      <c r="M44" s="267">
        <f ca="1">L44-I44</f>
        <v>490.45686425225176</v>
      </c>
    </row>
    <row r="45" spans="1:13">
      <c r="A45" s="690"/>
      <c r="B45" s="214">
        <v>100</v>
      </c>
      <c r="C45" s="215">
        <v>22</v>
      </c>
      <c r="D45" s="264" t="s">
        <v>183</v>
      </c>
      <c r="E45" s="216">
        <v>0</v>
      </c>
      <c r="F45" s="265"/>
      <c r="G45" s="217">
        <f>1040/38.06</f>
        <v>27.325275880189174</v>
      </c>
      <c r="H45" s="266">
        <v>0</v>
      </c>
      <c r="I45" s="267">
        <f>H45*G45</f>
        <v>0</v>
      </c>
      <c r="J45" s="266">
        <f ca="1">($J$3*H45)</f>
        <v>0</v>
      </c>
      <c r="K45" s="268">
        <f t="shared" ca="1" si="14"/>
        <v>0</v>
      </c>
      <c r="L45" s="267">
        <f ca="1">K45*G45</f>
        <v>0</v>
      </c>
      <c r="M45" s="267">
        <f ca="1">L45-I45</f>
        <v>0</v>
      </c>
    </row>
    <row r="46" spans="1:13">
      <c r="A46" s="691"/>
      <c r="B46" s="218">
        <v>100</v>
      </c>
      <c r="C46" s="219">
        <v>22</v>
      </c>
      <c r="D46" s="270" t="s">
        <v>184</v>
      </c>
      <c r="E46" s="220">
        <v>0</v>
      </c>
      <c r="F46" s="280"/>
      <c r="G46" s="221">
        <f>17928/32.72</f>
        <v>547.92176039119806</v>
      </c>
      <c r="H46" s="271">
        <v>0</v>
      </c>
      <c r="I46" s="267">
        <f>H46*G46</f>
        <v>0</v>
      </c>
      <c r="J46" s="271">
        <f ca="1">($J$3*H46)</f>
        <v>0</v>
      </c>
      <c r="K46" s="268">
        <f t="shared" ca="1" si="14"/>
        <v>0</v>
      </c>
      <c r="L46" s="267">
        <f ca="1">K46*G46</f>
        <v>0</v>
      </c>
      <c r="M46" s="267">
        <f ca="1">L46-I46</f>
        <v>0</v>
      </c>
    </row>
    <row r="47" spans="1:13" ht="16.5" thickBot="1">
      <c r="A47" s="244"/>
      <c r="B47" s="230"/>
      <c r="C47" s="231"/>
      <c r="D47" s="279" t="s">
        <v>103</v>
      </c>
      <c r="E47" s="245"/>
      <c r="F47" s="245"/>
      <c r="G47" s="246">
        <f>SUM(G43:G46)</f>
        <v>838.39470380610555</v>
      </c>
      <c r="H47" s="247"/>
      <c r="I47" s="248">
        <f>SUM(I43:I46)</f>
        <v>9255.244498777507</v>
      </c>
      <c r="J47" s="275"/>
      <c r="K47" s="247"/>
      <c r="L47" s="248">
        <f t="shared" ref="L47:M47" ca="1" si="16">SUM(L43:L46)</f>
        <v>9745.7013630297588</v>
      </c>
      <c r="M47" s="248">
        <f t="shared" ca="1" si="16"/>
        <v>490.45686425225176</v>
      </c>
    </row>
    <row r="48" spans="1:13" ht="17.25" thickTop="1" thickBot="1">
      <c r="B48" s="244"/>
      <c r="C48" s="244"/>
      <c r="D48" s="287" t="s">
        <v>185</v>
      </c>
      <c r="E48" s="249">
        <f>E47+E42+E34+E20</f>
        <v>320.90999999999997</v>
      </c>
      <c r="F48" s="244"/>
      <c r="G48" s="249">
        <f>G47+G42+G34+G20</f>
        <v>16878.463339545509</v>
      </c>
      <c r="H48" s="244"/>
      <c r="I48" s="250">
        <f>I47+I42+I34+I20</f>
        <v>153819.4492</v>
      </c>
      <c r="J48" s="288"/>
      <c r="K48" s="244"/>
      <c r="L48" s="250">
        <f ca="1">L47+L42+L34+L20</f>
        <v>161970.69844312969</v>
      </c>
      <c r="M48" s="250">
        <f ca="1">M47+M42+M34+M20</f>
        <v>8151.2492431296923</v>
      </c>
    </row>
    <row r="49" spans="1:13" ht="26.45" customHeight="1" thickTop="1"/>
    <row r="50" spans="1:13" ht="14.45" customHeight="1">
      <c r="A50" s="690"/>
      <c r="D50" s="289" t="s">
        <v>186</v>
      </c>
    </row>
    <row r="51" spans="1:13">
      <c r="A51" s="690"/>
      <c r="B51" s="251"/>
      <c r="C51" s="215">
        <v>23</v>
      </c>
      <c r="D51" s="264" t="s">
        <v>187</v>
      </c>
      <c r="E51" s="216">
        <v>0</v>
      </c>
      <c r="F51" s="265">
        <f>52/12/2</f>
        <v>2.1666666666666665</v>
      </c>
      <c r="G51" s="229">
        <f t="shared" ref="G51:G65" si="17">F51*12</f>
        <v>26</v>
      </c>
      <c r="H51" s="266">
        <v>5.63</v>
      </c>
      <c r="I51" s="290">
        <f t="shared" ref="I51:I65" si="18">E51*H51*12</f>
        <v>0</v>
      </c>
      <c r="J51" s="266"/>
      <c r="K51" s="266">
        <v>10.24</v>
      </c>
      <c r="L51" s="290">
        <f t="shared" ref="L51:L65" si="19">E51*K51*12</f>
        <v>0</v>
      </c>
      <c r="M51" s="290">
        <f t="shared" ref="M51:M65" si="20">L51-I51</f>
        <v>0</v>
      </c>
    </row>
    <row r="52" spans="1:13">
      <c r="A52" s="690"/>
      <c r="B52" s="251"/>
      <c r="C52" s="215">
        <v>23</v>
      </c>
      <c r="D52" s="264" t="s">
        <v>188</v>
      </c>
      <c r="E52" s="216">
        <v>0</v>
      </c>
      <c r="F52" s="265">
        <v>1</v>
      </c>
      <c r="G52" s="229">
        <f t="shared" si="17"/>
        <v>12</v>
      </c>
      <c r="H52" s="266">
        <v>3.64</v>
      </c>
      <c r="I52" s="290">
        <f t="shared" si="18"/>
        <v>0</v>
      </c>
      <c r="J52" s="266"/>
      <c r="K52" s="266">
        <v>7.86</v>
      </c>
      <c r="L52" s="290">
        <f t="shared" si="19"/>
        <v>0</v>
      </c>
      <c r="M52" s="290">
        <f t="shared" si="20"/>
        <v>0</v>
      </c>
    </row>
    <row r="53" spans="1:13">
      <c r="A53" s="690"/>
      <c r="B53" s="251"/>
      <c r="C53" s="215">
        <v>23</v>
      </c>
      <c r="D53" s="264" t="s">
        <v>189</v>
      </c>
      <c r="E53" s="216">
        <v>0</v>
      </c>
      <c r="F53" s="265">
        <v>1</v>
      </c>
      <c r="G53" s="229">
        <f t="shared" si="17"/>
        <v>12</v>
      </c>
      <c r="H53" s="266">
        <v>0</v>
      </c>
      <c r="I53" s="290">
        <f t="shared" si="18"/>
        <v>0</v>
      </c>
      <c r="J53" s="266"/>
      <c r="K53" s="266">
        <v>15.68</v>
      </c>
      <c r="L53" s="290">
        <f t="shared" si="19"/>
        <v>0</v>
      </c>
      <c r="M53" s="290">
        <f t="shared" si="20"/>
        <v>0</v>
      </c>
    </row>
    <row r="54" spans="1:13">
      <c r="A54" s="690"/>
      <c r="B54" s="251"/>
      <c r="C54" s="215">
        <v>23</v>
      </c>
      <c r="D54" s="264" t="s">
        <v>190</v>
      </c>
      <c r="E54" s="216">
        <v>0</v>
      </c>
      <c r="F54" s="265">
        <v>1</v>
      </c>
      <c r="G54" s="229">
        <f t="shared" si="17"/>
        <v>12</v>
      </c>
      <c r="H54" s="266">
        <v>0</v>
      </c>
      <c r="I54" s="290">
        <f t="shared" si="18"/>
        <v>0</v>
      </c>
      <c r="J54" s="266"/>
      <c r="K54" s="266">
        <v>18.61</v>
      </c>
      <c r="L54" s="290">
        <f t="shared" si="19"/>
        <v>0</v>
      </c>
      <c r="M54" s="290">
        <f t="shared" si="20"/>
        <v>0</v>
      </c>
    </row>
    <row r="55" spans="1:13">
      <c r="A55" s="690"/>
      <c r="B55" s="251"/>
      <c r="C55" s="215">
        <v>23</v>
      </c>
      <c r="D55" s="264" t="s">
        <v>191</v>
      </c>
      <c r="E55" s="216">
        <v>0</v>
      </c>
      <c r="F55" s="265">
        <f>52/12/2</f>
        <v>2.1666666666666665</v>
      </c>
      <c r="G55" s="229">
        <f t="shared" si="17"/>
        <v>26</v>
      </c>
      <c r="H55" s="266">
        <v>0</v>
      </c>
      <c r="I55" s="290">
        <f t="shared" si="18"/>
        <v>0</v>
      </c>
      <c r="J55" s="266"/>
      <c r="K55" s="266">
        <v>32.229999999999997</v>
      </c>
      <c r="L55" s="290">
        <f t="shared" si="19"/>
        <v>0</v>
      </c>
      <c r="M55" s="290">
        <f t="shared" si="20"/>
        <v>0</v>
      </c>
    </row>
    <row r="56" spans="1:13">
      <c r="A56" s="690"/>
      <c r="B56" s="251"/>
      <c r="C56" s="215">
        <v>23</v>
      </c>
      <c r="D56" s="264" t="s">
        <v>192</v>
      </c>
      <c r="E56" s="216">
        <v>0</v>
      </c>
      <c r="F56" s="265">
        <v>1</v>
      </c>
      <c r="G56" s="229">
        <f t="shared" si="17"/>
        <v>12</v>
      </c>
      <c r="H56" s="266">
        <v>0</v>
      </c>
      <c r="I56" s="290">
        <f t="shared" si="18"/>
        <v>0</v>
      </c>
      <c r="J56" s="266"/>
      <c r="K56" s="266">
        <v>21.48</v>
      </c>
      <c r="L56" s="290">
        <f t="shared" si="19"/>
        <v>0</v>
      </c>
      <c r="M56" s="290">
        <f t="shared" si="20"/>
        <v>0</v>
      </c>
    </row>
    <row r="57" spans="1:13">
      <c r="A57" s="690"/>
      <c r="B57" s="251"/>
      <c r="C57" s="215">
        <v>23</v>
      </c>
      <c r="D57" s="264" t="s">
        <v>193</v>
      </c>
      <c r="E57" s="216">
        <v>0</v>
      </c>
      <c r="F57" s="265">
        <f>52/12/2</f>
        <v>2.1666666666666665</v>
      </c>
      <c r="G57" s="229">
        <f t="shared" si="17"/>
        <v>26</v>
      </c>
      <c r="H57" s="266">
        <v>0</v>
      </c>
      <c r="I57" s="290">
        <f t="shared" si="18"/>
        <v>0</v>
      </c>
      <c r="J57" s="266"/>
      <c r="K57" s="266">
        <v>25.87</v>
      </c>
      <c r="L57" s="290">
        <f t="shared" si="19"/>
        <v>0</v>
      </c>
      <c r="M57" s="290">
        <f t="shared" si="20"/>
        <v>0</v>
      </c>
    </row>
    <row r="58" spans="1:13">
      <c r="A58" s="690"/>
      <c r="B58" s="251"/>
      <c r="C58" s="215">
        <v>23</v>
      </c>
      <c r="D58" s="264" t="s">
        <v>194</v>
      </c>
      <c r="E58" s="216">
        <v>0</v>
      </c>
      <c r="F58" s="265">
        <v>1</v>
      </c>
      <c r="G58" s="229">
        <f t="shared" si="17"/>
        <v>12</v>
      </c>
      <c r="H58" s="266">
        <v>0</v>
      </c>
      <c r="I58" s="290">
        <f t="shared" si="18"/>
        <v>0</v>
      </c>
      <c r="J58" s="266"/>
      <c r="K58" s="266">
        <v>17.13</v>
      </c>
      <c r="L58" s="290">
        <f t="shared" si="19"/>
        <v>0</v>
      </c>
      <c r="M58" s="290">
        <f t="shared" si="20"/>
        <v>0</v>
      </c>
    </row>
    <row r="59" spans="1:13">
      <c r="A59" s="690"/>
      <c r="B59" s="251"/>
      <c r="C59" s="215">
        <v>23</v>
      </c>
      <c r="D59" s="264" t="s">
        <v>195</v>
      </c>
      <c r="E59" s="216">
        <v>0</v>
      </c>
      <c r="F59" s="265">
        <f>52/12/2</f>
        <v>2.1666666666666665</v>
      </c>
      <c r="G59" s="229">
        <f t="shared" si="17"/>
        <v>26</v>
      </c>
      <c r="H59" s="266">
        <v>0</v>
      </c>
      <c r="I59" s="290">
        <f t="shared" si="18"/>
        <v>0</v>
      </c>
      <c r="J59" s="266"/>
      <c r="K59" s="266">
        <v>29.26</v>
      </c>
      <c r="L59" s="290">
        <f t="shared" si="19"/>
        <v>0</v>
      </c>
      <c r="M59" s="290">
        <f t="shared" si="20"/>
        <v>0</v>
      </c>
    </row>
    <row r="60" spans="1:13">
      <c r="A60" s="690"/>
      <c r="B60" s="251"/>
      <c r="C60" s="215">
        <v>23</v>
      </c>
      <c r="D60" s="264" t="s">
        <v>196</v>
      </c>
      <c r="E60" s="216">
        <v>0</v>
      </c>
      <c r="F60" s="265">
        <v>1</v>
      </c>
      <c r="G60" s="229">
        <f t="shared" si="17"/>
        <v>12</v>
      </c>
      <c r="H60" s="266">
        <v>0</v>
      </c>
      <c r="I60" s="290">
        <f t="shared" si="18"/>
        <v>0</v>
      </c>
      <c r="J60" s="266"/>
      <c r="K60" s="266">
        <v>18.71</v>
      </c>
      <c r="L60" s="290">
        <f t="shared" si="19"/>
        <v>0</v>
      </c>
      <c r="M60" s="290">
        <f t="shared" si="20"/>
        <v>0</v>
      </c>
    </row>
    <row r="61" spans="1:13">
      <c r="A61" s="690"/>
      <c r="B61" s="251"/>
      <c r="C61" s="215">
        <v>24</v>
      </c>
      <c r="D61" s="264" t="s">
        <v>197</v>
      </c>
      <c r="E61" s="216">
        <v>0</v>
      </c>
      <c r="F61" s="265">
        <v>1</v>
      </c>
      <c r="G61" s="229">
        <f t="shared" si="17"/>
        <v>12</v>
      </c>
      <c r="H61" s="266">
        <v>0</v>
      </c>
      <c r="I61" s="290">
        <f t="shared" si="18"/>
        <v>0</v>
      </c>
      <c r="J61" s="266"/>
      <c r="K61" s="266">
        <v>9.6999999999999993</v>
      </c>
      <c r="L61" s="290">
        <f t="shared" si="19"/>
        <v>0</v>
      </c>
      <c r="M61" s="290">
        <f t="shared" si="20"/>
        <v>0</v>
      </c>
    </row>
    <row r="62" spans="1:13">
      <c r="A62" s="690"/>
      <c r="B62" s="251"/>
      <c r="C62" s="215">
        <v>24</v>
      </c>
      <c r="D62" s="264" t="s">
        <v>198</v>
      </c>
      <c r="E62" s="216">
        <v>0</v>
      </c>
      <c r="F62" s="265">
        <v>1</v>
      </c>
      <c r="G62" s="229">
        <f t="shared" si="17"/>
        <v>12</v>
      </c>
      <c r="H62" s="266">
        <v>0</v>
      </c>
      <c r="I62" s="290">
        <f t="shared" si="18"/>
        <v>0</v>
      </c>
      <c r="J62" s="266"/>
      <c r="K62" s="266">
        <v>3.73</v>
      </c>
      <c r="L62" s="290">
        <f t="shared" si="19"/>
        <v>0</v>
      </c>
      <c r="M62" s="290">
        <f t="shared" si="20"/>
        <v>0</v>
      </c>
    </row>
    <row r="63" spans="1:13">
      <c r="A63" s="690"/>
      <c r="B63" s="251"/>
      <c r="C63" s="215">
        <v>24</v>
      </c>
      <c r="D63" s="264" t="s">
        <v>199</v>
      </c>
      <c r="E63" s="216">
        <v>0</v>
      </c>
      <c r="F63" s="265">
        <v>1</v>
      </c>
      <c r="G63" s="229">
        <f t="shared" si="17"/>
        <v>12</v>
      </c>
      <c r="H63" s="266">
        <v>0</v>
      </c>
      <c r="I63" s="290">
        <f t="shared" si="18"/>
        <v>0</v>
      </c>
      <c r="J63" s="266"/>
      <c r="K63" s="266">
        <v>7.16</v>
      </c>
      <c r="L63" s="290">
        <f t="shared" si="19"/>
        <v>0</v>
      </c>
      <c r="M63" s="290">
        <f t="shared" si="20"/>
        <v>0</v>
      </c>
    </row>
    <row r="64" spans="1:13">
      <c r="A64" s="691"/>
      <c r="B64" s="251"/>
      <c r="C64" s="215">
        <v>24</v>
      </c>
      <c r="D64" s="264" t="s">
        <v>200</v>
      </c>
      <c r="E64" s="237">
        <v>0</v>
      </c>
      <c r="F64" s="282">
        <v>1</v>
      </c>
      <c r="G64" s="229">
        <f t="shared" si="17"/>
        <v>12</v>
      </c>
      <c r="H64" s="283">
        <v>0</v>
      </c>
      <c r="I64" s="290">
        <f t="shared" si="18"/>
        <v>0</v>
      </c>
      <c r="J64" s="283"/>
      <c r="K64" s="283">
        <v>8.98</v>
      </c>
      <c r="L64" s="290">
        <f t="shared" si="19"/>
        <v>0</v>
      </c>
      <c r="M64" s="290">
        <f t="shared" si="20"/>
        <v>0</v>
      </c>
    </row>
    <row r="65" spans="2:16">
      <c r="B65" s="230"/>
      <c r="C65" s="219">
        <v>24</v>
      </c>
      <c r="D65" s="270" t="s">
        <v>201</v>
      </c>
      <c r="E65" s="211">
        <v>0</v>
      </c>
      <c r="F65" s="284">
        <v>1</v>
      </c>
      <c r="G65" s="252">
        <f t="shared" si="17"/>
        <v>12</v>
      </c>
      <c r="H65" s="285">
        <v>0</v>
      </c>
      <c r="I65" s="291">
        <f t="shared" si="18"/>
        <v>0</v>
      </c>
      <c r="J65" s="285"/>
      <c r="K65" s="285">
        <v>11.93</v>
      </c>
      <c r="L65" s="291">
        <f t="shared" si="19"/>
        <v>0</v>
      </c>
      <c r="M65" s="291">
        <f t="shared" si="20"/>
        <v>0</v>
      </c>
    </row>
    <row r="66" spans="2:16">
      <c r="H66" s="266"/>
    </row>
    <row r="67" spans="2:16">
      <c r="E67" s="292"/>
      <c r="I67" s="253"/>
      <c r="L67" s="229"/>
      <c r="M67" s="254"/>
    </row>
    <row r="68" spans="2:16">
      <c r="E68" s="292"/>
      <c r="I68" s="253"/>
      <c r="K68" s="255" t="s">
        <v>202</v>
      </c>
      <c r="L68" s="293" t="s">
        <v>139</v>
      </c>
      <c r="M68" s="256">
        <f ca="1">M48</f>
        <v>8151.2492431296923</v>
      </c>
    </row>
    <row r="69" spans="2:16">
      <c r="E69" s="257"/>
      <c r="I69" s="254"/>
      <c r="L69" s="293" t="s">
        <v>203</v>
      </c>
      <c r="M69" s="503">
        <f ca="1">'Current Garbage LG 2018'!M21</f>
        <v>10702.455825336931</v>
      </c>
    </row>
    <row r="70" spans="2:16">
      <c r="E70" s="257"/>
      <c r="I70" s="253"/>
      <c r="L70" s="293" t="s">
        <v>204</v>
      </c>
      <c r="M70" s="543">
        <f ca="1">M68-M69</f>
        <v>-2551.2065822072382</v>
      </c>
    </row>
    <row r="71" spans="2:16">
      <c r="D71" s="504" t="s">
        <v>399</v>
      </c>
      <c r="E71" s="294"/>
      <c r="H71" s="260"/>
      <c r="I71" s="261"/>
      <c r="J71" s="260"/>
      <c r="K71" s="260"/>
      <c r="L71" s="261"/>
      <c r="M71" s="254"/>
    </row>
    <row r="72" spans="2:16">
      <c r="B72" s="214">
        <v>100</v>
      </c>
      <c r="C72" s="215">
        <v>24</v>
      </c>
      <c r="D72" s="264" t="s">
        <v>161</v>
      </c>
      <c r="E72" s="216">
        <f>(18916/5.33)/12</f>
        <v>295.74734208880551</v>
      </c>
      <c r="F72" s="265">
        <f>[12]References!$D$8</f>
        <v>2.1666666666666665</v>
      </c>
      <c r="G72" s="217">
        <f>E72*F72*12</f>
        <v>7689.4308943089418</v>
      </c>
      <c r="H72" s="266">
        <v>5.33</v>
      </c>
      <c r="I72" s="547">
        <f>E72*H72*12</f>
        <v>18916</v>
      </c>
      <c r="J72" s="266">
        <f ca="1">L73/E72/12-H72</f>
        <v>7.1425311877942317</v>
      </c>
      <c r="K72" s="502">
        <f ca="1">J72+H72</f>
        <v>12.472531187794232</v>
      </c>
      <c r="L72" s="547">
        <f ca="1">E72*K72*12</f>
        <v>44264.615374918518</v>
      </c>
      <c r="M72" s="267">
        <f ca="1">L72-I72</f>
        <v>25348.615374918518</v>
      </c>
      <c r="P72" s="267"/>
    </row>
    <row r="73" spans="2:16">
      <c r="D73" s="254"/>
      <c r="E73" s="216"/>
      <c r="F73" s="254"/>
      <c r="G73" s="217"/>
      <c r="H73" s="266"/>
      <c r="I73" s="267"/>
      <c r="J73" s="266"/>
      <c r="K73" s="268"/>
      <c r="L73" s="267">
        <f ca="1">'Current Recycling LG 2018'!M7</f>
        <v>44264.615374918518</v>
      </c>
      <c r="M73" s="267"/>
      <c r="P73" s="267"/>
    </row>
    <row r="74" spans="2:16">
      <c r="D74" s="254"/>
      <c r="E74" s="293"/>
      <c r="F74" s="295"/>
      <c r="G74" s="254"/>
      <c r="H74" s="262"/>
      <c r="I74" s="256"/>
      <c r="J74" s="262"/>
      <c r="K74" s="269"/>
      <c r="L74" s="294"/>
      <c r="P74" s="497"/>
    </row>
    <row r="75" spans="2:16">
      <c r="D75" s="254"/>
      <c r="E75" s="293"/>
      <c r="F75" s="295"/>
      <c r="G75" s="207" t="s">
        <v>503</v>
      </c>
      <c r="H75" s="262"/>
      <c r="I75" s="225">
        <f>I48+I72</f>
        <v>172735.4492</v>
      </c>
      <c r="J75" s="262"/>
      <c r="K75" s="269"/>
      <c r="L75" s="225">
        <f ca="1">L48+L72</f>
        <v>206235.31381804822</v>
      </c>
    </row>
    <row r="76" spans="2:16">
      <c r="D76" s="254"/>
      <c r="E76" s="293"/>
      <c r="F76" s="295"/>
      <c r="G76" s="207" t="s">
        <v>501</v>
      </c>
      <c r="H76" s="262"/>
      <c r="I76" s="544">
        <f>'Income Statement'!T18</f>
        <v>220878.40000000002</v>
      </c>
      <c r="J76" s="262"/>
      <c r="K76" s="269"/>
      <c r="L76" s="544">
        <f ca="1">'Income Statement'!V18</f>
        <v>254378.26461804821</v>
      </c>
    </row>
    <row r="77" spans="2:16">
      <c r="D77" s="254"/>
      <c r="E77" s="263"/>
      <c r="F77" s="254"/>
      <c r="G77" s="207" t="s">
        <v>502</v>
      </c>
      <c r="H77" s="254"/>
      <c r="I77" s="543">
        <f>I75-I76+'Income Statement'!T12</f>
        <v>-405.25080000001617</v>
      </c>
      <c r="J77" s="254"/>
      <c r="K77" s="256"/>
      <c r="L77" s="545">
        <f ca="1">L75-L76+'Income Statement'!V12</f>
        <v>-405.25079999998707</v>
      </c>
    </row>
    <row r="78" spans="2:16">
      <c r="D78" s="254"/>
      <c r="E78" s="254"/>
      <c r="F78" s="254"/>
      <c r="H78" s="254"/>
      <c r="I78" s="254"/>
      <c r="J78" s="254"/>
      <c r="K78" s="254"/>
      <c r="L78" s="254"/>
    </row>
    <row r="79" spans="2:16">
      <c r="D79" s="254"/>
      <c r="E79" s="254"/>
      <c r="F79" s="254"/>
    </row>
    <row r="80" spans="2:16">
      <c r="D80" s="254"/>
      <c r="E80" s="254"/>
      <c r="F80" s="254"/>
    </row>
    <row r="81" spans="4:6">
      <c r="D81" s="254"/>
      <c r="E81" s="254"/>
      <c r="F81" s="254"/>
    </row>
    <row r="82" spans="4:6">
      <c r="D82" s="254"/>
      <c r="E82" s="254"/>
      <c r="F82" s="254"/>
    </row>
    <row r="83" spans="4:6">
      <c r="D83" s="254"/>
      <c r="E83" s="254"/>
      <c r="F83" s="254"/>
    </row>
  </sheetData>
  <mergeCells count="5">
    <mergeCell ref="A50:A64"/>
    <mergeCell ref="A6:A20"/>
    <mergeCell ref="A21:A35"/>
    <mergeCell ref="A37:A41"/>
    <mergeCell ref="A42:A46"/>
  </mergeCells>
  <pageMargins left="0.2" right="0.22" top="0.38" bottom="0.34" header="0.19" footer="0.17"/>
  <pageSetup scale="52" orientation="landscape" r:id="rId1"/>
  <headerFooter>
    <oddFooter>&amp;L&amp;F&amp;A&amp;R&amp;D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4"/>
  <sheetViews>
    <sheetView tabSelected="1" zoomScaleNormal="100" workbookViewId="0">
      <pane xSplit="4" ySplit="5" topLeftCell="E69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ColWidth="6.88671875" defaultRowHeight="15.75"/>
  <cols>
    <col min="1" max="1" width="3.5546875" style="207" bestFit="1" customWidth="1"/>
    <col min="2" max="2" width="3.5546875" style="207" customWidth="1"/>
    <col min="3" max="3" width="4.33203125" style="207" bestFit="1" customWidth="1"/>
    <col min="4" max="4" width="22.5546875" style="207" customWidth="1"/>
    <col min="5" max="5" width="9.77734375" style="207" bestFit="1" customWidth="1"/>
    <col min="6" max="6" width="9" style="207" customWidth="1"/>
    <col min="7" max="7" width="9.88671875" style="207" customWidth="1"/>
    <col min="8" max="8" width="9.44140625" style="207" customWidth="1"/>
    <col min="9" max="9" width="10.6640625" style="207" customWidth="1"/>
    <col min="10" max="10" width="6.77734375" style="207" customWidth="1"/>
    <col min="11" max="11" width="8.109375" style="207" customWidth="1"/>
    <col min="12" max="12" width="11.6640625" style="207" customWidth="1"/>
    <col min="13" max="13" width="10.21875" style="207" customWidth="1"/>
    <col min="14" max="15" width="6.88671875" style="207"/>
    <col min="16" max="16" width="7.6640625" style="207" bestFit="1" customWidth="1"/>
    <col min="17" max="16384" width="6.88671875" style="207"/>
  </cols>
  <sheetData>
    <row r="1" spans="1:13">
      <c r="D1" s="208" t="s">
        <v>138</v>
      </c>
    </row>
    <row r="2" spans="1:13">
      <c r="D2" s="208" t="s">
        <v>510</v>
      </c>
    </row>
    <row r="3" spans="1:13">
      <c r="D3" s="208" t="s">
        <v>140</v>
      </c>
      <c r="H3" s="207" t="s">
        <v>297</v>
      </c>
      <c r="I3" s="207" t="s">
        <v>141</v>
      </c>
      <c r="J3" s="209">
        <f ca="1">'Garbage LG 2019 '!M21/'Garbage LG 2019 '!C5</f>
        <v>6.5333911428605396E-2</v>
      </c>
    </row>
    <row r="5" spans="1:13" ht="47.25">
      <c r="A5" s="210"/>
      <c r="B5" s="211" t="s">
        <v>142</v>
      </c>
      <c r="C5" s="211" t="s">
        <v>143</v>
      </c>
      <c r="D5" s="212" t="s">
        <v>144</v>
      </c>
      <c r="E5" s="211" t="s">
        <v>145</v>
      </c>
      <c r="F5" s="211" t="s">
        <v>146</v>
      </c>
      <c r="G5" s="210" t="s">
        <v>147</v>
      </c>
      <c r="H5" s="213" t="s">
        <v>511</v>
      </c>
      <c r="I5" s="213" t="s">
        <v>512</v>
      </c>
      <c r="J5" s="213"/>
      <c r="K5" s="213" t="s">
        <v>150</v>
      </c>
      <c r="L5" s="213" t="s">
        <v>151</v>
      </c>
      <c r="M5" s="213" t="s">
        <v>152</v>
      </c>
    </row>
    <row r="6" spans="1:13">
      <c r="A6" s="690" t="s">
        <v>153</v>
      </c>
      <c r="B6" s="214">
        <v>100</v>
      </c>
      <c r="C6" s="215">
        <v>24</v>
      </c>
      <c r="D6" s="264" t="s">
        <v>154</v>
      </c>
      <c r="E6" s="216">
        <v>1</v>
      </c>
      <c r="F6" s="265">
        <f>[12]References!$D$7</f>
        <v>4.333333333333333</v>
      </c>
      <c r="G6" s="217">
        <f>E6*F6*12</f>
        <v>52</v>
      </c>
      <c r="H6" s="266">
        <f ca="1">'Current Price out'!K6</f>
        <v>3.8328920393312145</v>
      </c>
      <c r="I6" s="267">
        <f t="shared" ref="I6:I15" ca="1" si="0">E6*H6*12</f>
        <v>45.994704471974572</v>
      </c>
      <c r="J6" s="266">
        <f ca="1">($J$3*H6)</f>
        <v>0.2504178290130723</v>
      </c>
      <c r="K6" s="268">
        <f ca="1">J6+H6</f>
        <v>4.083309868344287</v>
      </c>
      <c r="L6" s="267">
        <f t="shared" ref="L6:L15" ca="1" si="1">E6*K6*12</f>
        <v>48.999718420131444</v>
      </c>
      <c r="M6" s="267">
        <f t="shared" ref="M6:M19" ca="1" si="2">L6-I6</f>
        <v>3.0050139481568721</v>
      </c>
    </row>
    <row r="7" spans="1:13" ht="15" customHeight="1">
      <c r="A7" s="690"/>
      <c r="B7" s="214">
        <v>100</v>
      </c>
      <c r="C7" s="215">
        <v>24</v>
      </c>
      <c r="D7" s="264" t="s">
        <v>155</v>
      </c>
      <c r="E7" s="216">
        <v>119.33</v>
      </c>
      <c r="F7" s="265">
        <f>[12]References!$D$7</f>
        <v>4.333333333333333</v>
      </c>
      <c r="G7" s="217">
        <f>E7*F7*12</f>
        <v>6205.1599999999989</v>
      </c>
      <c r="H7" s="266">
        <f ca="1">'Current Price out'!K7</f>
        <v>22.007539456599552</v>
      </c>
      <c r="I7" s="269">
        <f ca="1">E7*H7*12</f>
        <v>31513.916200272295</v>
      </c>
      <c r="J7" s="266">
        <f t="shared" ref="J7:J46" ca="1" si="3">($J$3*H7)</f>
        <v>1.4378386336190137</v>
      </c>
      <c r="K7" s="268">
        <f t="shared" ref="K7:K19" ca="1" si="4">J7+H7</f>
        <v>23.445378090218565</v>
      </c>
      <c r="L7" s="269">
        <f t="shared" ca="1" si="1"/>
        <v>33572.843610069373</v>
      </c>
      <c r="M7" s="269">
        <f t="shared" ca="1" si="2"/>
        <v>2058.9274097970774</v>
      </c>
    </row>
    <row r="8" spans="1:13">
      <c r="A8" s="690"/>
      <c r="B8" s="214">
        <v>100</v>
      </c>
      <c r="C8" s="215"/>
      <c r="D8" s="264" t="s">
        <v>156</v>
      </c>
      <c r="E8" s="216">
        <v>0</v>
      </c>
      <c r="F8" s="265">
        <f>[12]References!$D$7</f>
        <v>4.333333333333333</v>
      </c>
      <c r="G8" s="217">
        <f t="shared" ref="G8:G30" si="5">E8*F8*12</f>
        <v>0</v>
      </c>
      <c r="H8" s="266">
        <f ca="1">'Current Price out'!K8</f>
        <v>0</v>
      </c>
      <c r="I8" s="267">
        <f t="shared" ca="1" si="0"/>
        <v>0</v>
      </c>
      <c r="J8" s="266">
        <f t="shared" ca="1" si="3"/>
        <v>0</v>
      </c>
      <c r="K8" s="268">
        <f t="shared" ca="1" si="4"/>
        <v>0</v>
      </c>
      <c r="L8" s="267">
        <f t="shared" ca="1" si="1"/>
        <v>0</v>
      </c>
      <c r="M8" s="267">
        <f t="shared" ca="1" si="2"/>
        <v>0</v>
      </c>
    </row>
    <row r="9" spans="1:13">
      <c r="A9" s="690"/>
      <c r="B9" s="214">
        <v>100</v>
      </c>
      <c r="C9" s="215"/>
      <c r="D9" s="264" t="s">
        <v>157</v>
      </c>
      <c r="E9" s="216">
        <v>0</v>
      </c>
      <c r="F9" s="265">
        <f>[12]References!$D$7</f>
        <v>4.333333333333333</v>
      </c>
      <c r="G9" s="217">
        <f t="shared" si="5"/>
        <v>0</v>
      </c>
      <c r="H9" s="266">
        <f ca="1">'Current Price out'!K9</f>
        <v>0</v>
      </c>
      <c r="I9" s="267">
        <f t="shared" ca="1" si="0"/>
        <v>0</v>
      </c>
      <c r="J9" s="266">
        <f t="shared" ca="1" si="3"/>
        <v>0</v>
      </c>
      <c r="K9" s="268">
        <f t="shared" ca="1" si="4"/>
        <v>0</v>
      </c>
      <c r="L9" s="267">
        <f t="shared" ca="1" si="1"/>
        <v>0</v>
      </c>
      <c r="M9" s="267">
        <f t="shared" ca="1" si="2"/>
        <v>0</v>
      </c>
    </row>
    <row r="10" spans="1:13">
      <c r="A10" s="690"/>
      <c r="B10" s="214">
        <v>100</v>
      </c>
      <c r="C10" s="215"/>
      <c r="D10" s="264" t="s">
        <v>158</v>
      </c>
      <c r="E10" s="216">
        <v>0</v>
      </c>
      <c r="F10" s="265">
        <f>[12]References!$D$7</f>
        <v>4.333333333333333</v>
      </c>
      <c r="G10" s="217">
        <f t="shared" si="5"/>
        <v>0</v>
      </c>
      <c r="H10" s="266">
        <f ca="1">'Current Price out'!K10</f>
        <v>0</v>
      </c>
      <c r="I10" s="267">
        <f t="shared" ca="1" si="0"/>
        <v>0</v>
      </c>
      <c r="J10" s="266">
        <f t="shared" ca="1" si="3"/>
        <v>0</v>
      </c>
      <c r="K10" s="268">
        <f t="shared" ca="1" si="4"/>
        <v>0</v>
      </c>
      <c r="L10" s="267">
        <f t="shared" ca="1" si="1"/>
        <v>0</v>
      </c>
      <c r="M10" s="267">
        <f t="shared" ca="1" si="2"/>
        <v>0</v>
      </c>
    </row>
    <row r="11" spans="1:13">
      <c r="A11" s="690"/>
      <c r="B11" s="214">
        <v>100</v>
      </c>
      <c r="C11" s="215"/>
      <c r="D11" s="264" t="s">
        <v>159</v>
      </c>
      <c r="E11" s="216">
        <v>0</v>
      </c>
      <c r="F11" s="265">
        <f>[12]References!$D$7</f>
        <v>4.333333333333333</v>
      </c>
      <c r="G11" s="217">
        <f t="shared" si="5"/>
        <v>0</v>
      </c>
      <c r="H11" s="266">
        <f ca="1">'Current Price out'!K11</f>
        <v>0</v>
      </c>
      <c r="I11" s="267">
        <f t="shared" ca="1" si="0"/>
        <v>0</v>
      </c>
      <c r="J11" s="266">
        <f t="shared" ca="1" si="3"/>
        <v>0</v>
      </c>
      <c r="K11" s="268">
        <f t="shared" ca="1" si="4"/>
        <v>0</v>
      </c>
      <c r="L11" s="267">
        <f t="shared" ca="1" si="1"/>
        <v>0</v>
      </c>
      <c r="M11" s="267">
        <f t="shared" ca="1" si="2"/>
        <v>0</v>
      </c>
    </row>
    <row r="12" spans="1:13">
      <c r="A12" s="690"/>
      <c r="B12" s="214">
        <v>100</v>
      </c>
      <c r="C12" s="215">
        <v>24</v>
      </c>
      <c r="D12" s="264" t="s">
        <v>160</v>
      </c>
      <c r="E12" s="216">
        <v>4.5</v>
      </c>
      <c r="F12" s="265">
        <f>[12]References!$D$8</f>
        <v>2.1666666666666665</v>
      </c>
      <c r="G12" s="217">
        <f t="shared" si="5"/>
        <v>117</v>
      </c>
      <c r="H12" s="266">
        <f ca="1">'Current Price out'!K12</f>
        <v>5.9283467531414109</v>
      </c>
      <c r="I12" s="267">
        <f t="shared" ca="1" si="0"/>
        <v>320.13072466963621</v>
      </c>
      <c r="J12" s="266">
        <f t="shared" ca="1" si="3"/>
        <v>0.3873220816878013</v>
      </c>
      <c r="K12" s="268">
        <f t="shared" ca="1" si="4"/>
        <v>6.3156688348292125</v>
      </c>
      <c r="L12" s="267">
        <f t="shared" ca="1" si="1"/>
        <v>341.04611708077744</v>
      </c>
      <c r="M12" s="267">
        <f t="shared" ca="1" si="2"/>
        <v>20.915392411141227</v>
      </c>
    </row>
    <row r="13" spans="1:13">
      <c r="A13" s="690"/>
      <c r="B13" s="214">
        <v>100</v>
      </c>
      <c r="C13" s="215">
        <v>24</v>
      </c>
      <c r="D13" s="264" t="s">
        <v>161</v>
      </c>
      <c r="E13" s="216">
        <v>115.25</v>
      </c>
      <c r="F13" s="265">
        <f>[12]References!$D$8</f>
        <v>2.1666666666666665</v>
      </c>
      <c r="G13" s="217">
        <f>E13*F13*12</f>
        <v>2996.5</v>
      </c>
      <c r="H13" s="266">
        <f ca="1">H14</f>
        <v>11.372317039773932</v>
      </c>
      <c r="I13" s="267">
        <f ca="1">E13*H13*12</f>
        <v>15727.914466007351</v>
      </c>
      <c r="J13" s="266">
        <f t="shared" ca="1" si="3"/>
        <v>0.74299795421461001</v>
      </c>
      <c r="K13" s="502">
        <f t="shared" ca="1" si="4"/>
        <v>12.115314993988543</v>
      </c>
      <c r="L13" s="267">
        <f t="shared" ca="1" si="1"/>
        <v>16755.480636686156</v>
      </c>
      <c r="M13" s="267">
        <f t="shared" ca="1" si="2"/>
        <v>1027.5661706788051</v>
      </c>
    </row>
    <row r="14" spans="1:13">
      <c r="A14" s="690"/>
      <c r="B14" s="478"/>
      <c r="C14" s="479"/>
      <c r="D14" s="480" t="s">
        <v>161</v>
      </c>
      <c r="E14" s="481">
        <f>2100-E13-E7-E6-E12</f>
        <v>1859.92</v>
      </c>
      <c r="F14" s="482">
        <v>2.17</v>
      </c>
      <c r="G14" s="483">
        <f>E14*F14*12</f>
        <v>48432.316800000001</v>
      </c>
      <c r="H14" s="484">
        <f ca="1">'Current Price out'!K14</f>
        <v>11.372317039773932</v>
      </c>
      <c r="I14" s="485">
        <f ca="1">E14*H14*12</f>
        <v>253819.19890339597</v>
      </c>
      <c r="J14" s="484">
        <f t="shared" ref="J14" ca="1" si="6">($J$3*H14)</f>
        <v>0.74299795421461001</v>
      </c>
      <c r="K14" s="502">
        <f t="shared" ca="1" si="4"/>
        <v>12.115314993988543</v>
      </c>
      <c r="L14" s="485">
        <f t="shared" ref="L14" ca="1" si="7">E14*K14*12</f>
        <v>270402.19996343006</v>
      </c>
      <c r="M14" s="485">
        <f t="shared" ref="M14" ca="1" si="8">L14-I14</f>
        <v>16583.00106003409</v>
      </c>
    </row>
    <row r="15" spans="1:13">
      <c r="A15" s="690"/>
      <c r="B15" s="214">
        <v>100</v>
      </c>
      <c r="C15" s="215">
        <v>24</v>
      </c>
      <c r="D15" s="264" t="s">
        <v>162</v>
      </c>
      <c r="E15" s="570">
        <v>0</v>
      </c>
      <c r="F15" s="265">
        <f>[12]References!$D$9</f>
        <v>1</v>
      </c>
      <c r="G15" s="217">
        <f t="shared" si="5"/>
        <v>0</v>
      </c>
      <c r="H15" s="266">
        <f ca="1">'Current Price out'!K15</f>
        <v>6.7075610688296248</v>
      </c>
      <c r="I15" s="267">
        <f t="shared" ca="1" si="0"/>
        <v>0</v>
      </c>
      <c r="J15" s="266">
        <f t="shared" ca="1" si="3"/>
        <v>0.43823120077287647</v>
      </c>
      <c r="K15" s="268">
        <f t="shared" ca="1" si="4"/>
        <v>7.1457922696025014</v>
      </c>
      <c r="L15" s="267">
        <f t="shared" ca="1" si="1"/>
        <v>0</v>
      </c>
      <c r="M15" s="267">
        <f t="shared" ca="1" si="2"/>
        <v>0</v>
      </c>
    </row>
    <row r="16" spans="1:13" ht="14.45" customHeight="1">
      <c r="A16" s="690"/>
      <c r="B16" s="214">
        <v>100</v>
      </c>
      <c r="C16" s="215">
        <v>31</v>
      </c>
      <c r="D16" s="264" t="s">
        <v>163</v>
      </c>
      <c r="E16" s="216">
        <v>0</v>
      </c>
      <c r="F16" s="265">
        <f>[12]References!$D$9</f>
        <v>1</v>
      </c>
      <c r="G16" s="217">
        <f t="shared" si="5"/>
        <v>0</v>
      </c>
      <c r="H16" s="266">
        <f ca="1">'Current Price out'!K16</f>
        <v>0</v>
      </c>
      <c r="I16" s="267">
        <f ca="1">G16*H16</f>
        <v>0</v>
      </c>
      <c r="J16" s="266">
        <f t="shared" ca="1" si="3"/>
        <v>0</v>
      </c>
      <c r="K16" s="268">
        <f t="shared" ca="1" si="4"/>
        <v>0</v>
      </c>
      <c r="L16" s="267">
        <f ca="1">G16*K16</f>
        <v>0</v>
      </c>
      <c r="M16" s="267">
        <f t="shared" ca="1" si="2"/>
        <v>0</v>
      </c>
    </row>
    <row r="17" spans="1:16">
      <c r="A17" s="690"/>
      <c r="B17" s="214">
        <v>100</v>
      </c>
      <c r="C17" s="215">
        <v>31</v>
      </c>
      <c r="D17" s="264" t="s">
        <v>164</v>
      </c>
      <c r="E17" s="216">
        <v>0</v>
      </c>
      <c r="F17" s="265">
        <f>[12]References!$D$7</f>
        <v>4.333333333333333</v>
      </c>
      <c r="G17" s="217">
        <f t="shared" si="5"/>
        <v>0</v>
      </c>
      <c r="H17" s="266">
        <f ca="1">'Current Price out'!K17</f>
        <v>0</v>
      </c>
      <c r="I17" s="267">
        <f ca="1">G17*H17</f>
        <v>0</v>
      </c>
      <c r="J17" s="266">
        <f t="shared" ca="1" si="3"/>
        <v>0</v>
      </c>
      <c r="K17" s="268">
        <f t="shared" ca="1" si="4"/>
        <v>0</v>
      </c>
      <c r="L17" s="267">
        <f ca="1">G17*K17</f>
        <v>0</v>
      </c>
      <c r="M17" s="267">
        <f t="shared" ca="1" si="2"/>
        <v>0</v>
      </c>
    </row>
    <row r="18" spans="1:16">
      <c r="A18" s="690"/>
      <c r="B18" s="214">
        <v>100</v>
      </c>
      <c r="C18" s="215">
        <v>23</v>
      </c>
      <c r="D18" s="264" t="s">
        <v>165</v>
      </c>
      <c r="E18" s="216">
        <v>0</v>
      </c>
      <c r="F18" s="265">
        <f>[12]References!$D$9</f>
        <v>1</v>
      </c>
      <c r="G18" s="217">
        <f t="shared" si="5"/>
        <v>0</v>
      </c>
      <c r="H18" s="266">
        <f ca="1">'Current Price out'!K18</f>
        <v>0</v>
      </c>
      <c r="I18" s="267">
        <f ca="1">E18*H18*12</f>
        <v>0</v>
      </c>
      <c r="J18" s="266">
        <f t="shared" ca="1" si="3"/>
        <v>0</v>
      </c>
      <c r="K18" s="268">
        <f t="shared" ca="1" si="4"/>
        <v>0</v>
      </c>
      <c r="L18" s="267">
        <f ca="1">E18*K18*12</f>
        <v>0</v>
      </c>
      <c r="M18" s="267">
        <f t="shared" ca="1" si="2"/>
        <v>0</v>
      </c>
    </row>
    <row r="19" spans="1:16">
      <c r="A19" s="690"/>
      <c r="B19" s="218">
        <v>100</v>
      </c>
      <c r="C19" s="219">
        <v>23</v>
      </c>
      <c r="D19" s="270" t="s">
        <v>166</v>
      </c>
      <c r="E19" s="220">
        <v>0</v>
      </c>
      <c r="F19" s="265">
        <f>[12]References!$D$7</f>
        <v>4.333333333333333</v>
      </c>
      <c r="G19" s="221">
        <f t="shared" si="5"/>
        <v>0</v>
      </c>
      <c r="H19" s="271">
        <f ca="1">'Current Price out'!K19</f>
        <v>0</v>
      </c>
      <c r="I19" s="272">
        <f ca="1">E19*H19*12</f>
        <v>0</v>
      </c>
      <c r="J19" s="271">
        <f t="shared" ca="1" si="3"/>
        <v>0</v>
      </c>
      <c r="K19" s="268">
        <f t="shared" ca="1" si="4"/>
        <v>0</v>
      </c>
      <c r="L19" s="272">
        <f ca="1">E19*K19*12</f>
        <v>0</v>
      </c>
      <c r="M19" s="272">
        <f t="shared" ca="1" si="2"/>
        <v>0</v>
      </c>
    </row>
    <row r="20" spans="1:16">
      <c r="A20" s="691"/>
      <c r="B20" s="222"/>
      <c r="C20" s="215"/>
      <c r="D20" s="273" t="s">
        <v>103</v>
      </c>
      <c r="E20" s="223">
        <f>SUM(E7:E19)</f>
        <v>2099</v>
      </c>
      <c r="F20" s="274"/>
      <c r="G20" s="224">
        <f>SUM(G7:G19)</f>
        <v>57750.976800000004</v>
      </c>
      <c r="H20" s="274"/>
      <c r="I20" s="225">
        <f ca="1">SUM(I7:I19)</f>
        <v>301381.16029434523</v>
      </c>
      <c r="J20" s="275"/>
      <c r="K20" s="274"/>
      <c r="L20" s="225">
        <f ca="1">SUM(L7:L19)</f>
        <v>321071.57032726635</v>
      </c>
      <c r="M20" s="225">
        <f ca="1">SUM(M7:M19)</f>
        <v>19690.410032921114</v>
      </c>
    </row>
    <row r="21" spans="1:16" ht="14.45" customHeight="1">
      <c r="A21" s="692" t="s">
        <v>167</v>
      </c>
      <c r="B21" s="214"/>
      <c r="C21" s="226"/>
      <c r="D21" s="276" t="s">
        <v>155</v>
      </c>
      <c r="E21" s="227"/>
      <c r="F21" s="265">
        <f>[12]References!$D$7</f>
        <v>4.333333333333333</v>
      </c>
      <c r="G21" s="228">
        <f>E21*F21*12</f>
        <v>0</v>
      </c>
      <c r="H21" s="266">
        <f ca="1">'Current Price out'!K21</f>
        <v>0</v>
      </c>
      <c r="I21" s="278">
        <f t="shared" ref="I21:I26" ca="1" si="9">E21*H21*12</f>
        <v>0</v>
      </c>
      <c r="J21" s="266">
        <f t="shared" ca="1" si="3"/>
        <v>0</v>
      </c>
      <c r="K21" s="268">
        <f ca="1">MROUND(H21+J21,[12]References!$E$28)</f>
        <v>0</v>
      </c>
      <c r="L21" s="278">
        <f t="shared" ref="L21:L26" ca="1" si="10">E21*K21*12</f>
        <v>0</v>
      </c>
      <c r="M21" s="278">
        <f t="shared" ref="M21:M33" ca="1" si="11">L21-I21</f>
        <v>0</v>
      </c>
    </row>
    <row r="22" spans="1:16">
      <c r="A22" s="690"/>
      <c r="B22" s="214"/>
      <c r="C22" s="215"/>
      <c r="D22" s="264" t="s">
        <v>156</v>
      </c>
      <c r="E22" s="216"/>
      <c r="F22" s="265">
        <f>[12]References!$D$7</f>
        <v>4.333333333333333</v>
      </c>
      <c r="G22" s="217">
        <f t="shared" si="5"/>
        <v>0</v>
      </c>
      <c r="H22" s="266">
        <f ca="1">'Current Price out'!K22</f>
        <v>0</v>
      </c>
      <c r="I22" s="267">
        <f t="shared" ca="1" si="9"/>
        <v>0</v>
      </c>
      <c r="J22" s="266">
        <f t="shared" ca="1" si="3"/>
        <v>0</v>
      </c>
      <c r="K22" s="268">
        <f ca="1">MROUND(H22+J22,[12]References!$E$28)</f>
        <v>0</v>
      </c>
      <c r="L22" s="267">
        <f t="shared" ca="1" si="10"/>
        <v>0</v>
      </c>
      <c r="M22" s="267">
        <f t="shared" ca="1" si="11"/>
        <v>0</v>
      </c>
    </row>
    <row r="23" spans="1:16">
      <c r="A23" s="690"/>
      <c r="B23" s="214"/>
      <c r="C23" s="215"/>
      <c r="D23" s="264" t="s">
        <v>157</v>
      </c>
      <c r="E23" s="216"/>
      <c r="F23" s="265">
        <f>[12]References!$D$7</f>
        <v>4.333333333333333</v>
      </c>
      <c r="G23" s="217">
        <f t="shared" si="5"/>
        <v>0</v>
      </c>
      <c r="H23" s="266">
        <f ca="1">'Current Price out'!K23</f>
        <v>0</v>
      </c>
      <c r="I23" s="267">
        <f t="shared" ca="1" si="9"/>
        <v>0</v>
      </c>
      <c r="J23" s="266">
        <f t="shared" ca="1" si="3"/>
        <v>0</v>
      </c>
      <c r="K23" s="268">
        <f ca="1">MROUND(H23+J23,[12]References!$E$28)</f>
        <v>0</v>
      </c>
      <c r="L23" s="267">
        <f t="shared" ca="1" si="10"/>
        <v>0</v>
      </c>
      <c r="M23" s="267">
        <f t="shared" ca="1" si="11"/>
        <v>0</v>
      </c>
    </row>
    <row r="24" spans="1:16">
      <c r="A24" s="690"/>
      <c r="B24" s="214"/>
      <c r="C24" s="215"/>
      <c r="D24" s="264" t="s">
        <v>161</v>
      </c>
      <c r="E24" s="216"/>
      <c r="F24" s="265">
        <f>[12]References!$D$8</f>
        <v>2.1666666666666665</v>
      </c>
      <c r="G24" s="217">
        <f t="shared" si="5"/>
        <v>0</v>
      </c>
      <c r="H24" s="266">
        <f ca="1">'Current Price out'!K24</f>
        <v>0</v>
      </c>
      <c r="I24" s="267">
        <f t="shared" ca="1" si="9"/>
        <v>0</v>
      </c>
      <c r="J24" s="266">
        <f t="shared" ca="1" si="3"/>
        <v>0</v>
      </c>
      <c r="K24" s="268">
        <f ca="1">MROUND(H24+J24,[12]References!$E$28)</f>
        <v>0</v>
      </c>
      <c r="L24" s="267">
        <f t="shared" ca="1" si="10"/>
        <v>0</v>
      </c>
      <c r="M24" s="267">
        <f t="shared" ca="1" si="11"/>
        <v>0</v>
      </c>
    </row>
    <row r="25" spans="1:16">
      <c r="A25" s="690"/>
      <c r="B25" s="214"/>
      <c r="C25" s="215"/>
      <c r="D25" s="264" t="s">
        <v>168</v>
      </c>
      <c r="E25" s="216"/>
      <c r="F25" s="265">
        <f>[12]References!$D$8</f>
        <v>2.1666666666666665</v>
      </c>
      <c r="G25" s="217">
        <f t="shared" si="5"/>
        <v>0</v>
      </c>
      <c r="H25" s="266">
        <f ca="1">'Current Price out'!K25</f>
        <v>0</v>
      </c>
      <c r="I25" s="267">
        <f t="shared" ca="1" si="9"/>
        <v>0</v>
      </c>
      <c r="J25" s="266">
        <f t="shared" ca="1" si="3"/>
        <v>0</v>
      </c>
      <c r="K25" s="268">
        <f ca="1">MROUND(H25+J25,[12]References!$E$28)</f>
        <v>0</v>
      </c>
      <c r="L25" s="267">
        <f t="shared" ca="1" si="10"/>
        <v>0</v>
      </c>
      <c r="M25" s="267">
        <f t="shared" ca="1" si="11"/>
        <v>0</v>
      </c>
    </row>
    <row r="26" spans="1:16">
      <c r="A26" s="690"/>
      <c r="B26" s="214"/>
      <c r="C26" s="215"/>
      <c r="D26" s="264" t="s">
        <v>475</v>
      </c>
      <c r="E26" s="216">
        <v>29</v>
      </c>
      <c r="F26" s="265">
        <v>1</v>
      </c>
      <c r="G26" s="217">
        <f>E26*F26*12</f>
        <v>348</v>
      </c>
      <c r="H26" s="266">
        <f ca="1">'Current Price out'!K26</f>
        <v>0</v>
      </c>
      <c r="I26" s="267">
        <f t="shared" ca="1" si="9"/>
        <v>0</v>
      </c>
      <c r="J26" s="266">
        <f t="shared" ca="1" si="3"/>
        <v>0</v>
      </c>
      <c r="K26" s="268">
        <f ca="1">MROUND(H26+J26,[12]References!$E$28)</f>
        <v>0</v>
      </c>
      <c r="L26" s="267">
        <f t="shared" ca="1" si="10"/>
        <v>0</v>
      </c>
      <c r="M26" s="267">
        <f t="shared" ca="1" si="11"/>
        <v>0</v>
      </c>
    </row>
    <row r="27" spans="1:16">
      <c r="A27" s="690"/>
      <c r="B27" s="214">
        <v>240</v>
      </c>
      <c r="C27" s="215">
        <v>38</v>
      </c>
      <c r="D27" s="264" t="s">
        <v>169</v>
      </c>
      <c r="E27" s="216"/>
      <c r="F27" s="265">
        <v>1</v>
      </c>
      <c r="G27" s="564">
        <f>'Current Price out'!G27</f>
        <v>1714.4486357394046</v>
      </c>
      <c r="H27" s="266">
        <f ca="1">'Current Price out'!K27</f>
        <v>36.275585372241849</v>
      </c>
      <c r="I27" s="267">
        <f t="shared" ref="I27:I33" ca="1" si="12">G27*H27</f>
        <v>62192.627852088342</v>
      </c>
      <c r="J27" s="266">
        <f t="shared" ca="1" si="3"/>
        <v>2.3700258817308626</v>
      </c>
      <c r="K27" s="268">
        <f ca="1">MROUND(H27+J27,[12]References!$E$28)</f>
        <v>38.65</v>
      </c>
      <c r="L27" s="267">
        <f t="shared" ref="L27:L33" ca="1" si="13">G27*K27</f>
        <v>66263.43977132799</v>
      </c>
      <c r="M27" s="267">
        <f t="shared" ca="1" si="11"/>
        <v>4070.811919239648</v>
      </c>
    </row>
    <row r="28" spans="1:16">
      <c r="A28" s="690"/>
      <c r="B28" s="214"/>
      <c r="C28" s="215"/>
      <c r="D28" s="264" t="s">
        <v>170</v>
      </c>
      <c r="E28" s="216"/>
      <c r="F28" s="265">
        <f>[12]References!G7</f>
        <v>17.333333333333332</v>
      </c>
      <c r="G28" s="217">
        <f>E28*F28*12</f>
        <v>0</v>
      </c>
      <c r="H28" s="266">
        <f ca="1">'Current Price out'!K28</f>
        <v>0</v>
      </c>
      <c r="I28" s="267">
        <f t="shared" ca="1" si="12"/>
        <v>0</v>
      </c>
      <c r="J28" s="266">
        <f t="shared" ca="1" si="3"/>
        <v>0</v>
      </c>
      <c r="K28" s="268">
        <f ca="1">MROUND(H28+J28,[12]References!$E$28)</f>
        <v>0</v>
      </c>
      <c r="L28" s="267">
        <f t="shared" ca="1" si="13"/>
        <v>0</v>
      </c>
      <c r="M28" s="267">
        <f t="shared" ca="1" si="11"/>
        <v>0</v>
      </c>
      <c r="P28" s="236"/>
    </row>
    <row r="29" spans="1:16" ht="18">
      <c r="A29" s="690"/>
      <c r="B29" s="214"/>
      <c r="C29" s="215"/>
      <c r="D29" s="264" t="s">
        <v>171</v>
      </c>
      <c r="E29" s="216"/>
      <c r="F29" s="265">
        <f>[12]References!$D$8</f>
        <v>2.1666666666666665</v>
      </c>
      <c r="G29" s="217">
        <f t="shared" si="5"/>
        <v>0</v>
      </c>
      <c r="H29" s="266">
        <f ca="1">'Current Price out'!K29</f>
        <v>0</v>
      </c>
      <c r="I29" s="267">
        <f t="shared" ca="1" si="12"/>
        <v>0</v>
      </c>
      <c r="J29" s="266">
        <f t="shared" ca="1" si="3"/>
        <v>0</v>
      </c>
      <c r="K29" s="268">
        <f ca="1">MROUND(H29+J29,[12]References!$E$28)</f>
        <v>0</v>
      </c>
      <c r="L29" s="267">
        <f t="shared" ca="1" si="13"/>
        <v>0</v>
      </c>
      <c r="M29" s="267">
        <f t="shared" ca="1" si="11"/>
        <v>0</v>
      </c>
      <c r="P29" s="437"/>
    </row>
    <row r="30" spans="1:16">
      <c r="A30" s="690"/>
      <c r="B30" s="214"/>
      <c r="C30" s="215"/>
      <c r="D30" s="264" t="s">
        <v>172</v>
      </c>
      <c r="E30" s="216"/>
      <c r="F30" s="229">
        <f>[12]References!$D$6</f>
        <v>8.6666666666666661</v>
      </c>
      <c r="G30" s="217">
        <f t="shared" si="5"/>
        <v>0</v>
      </c>
      <c r="H30" s="266">
        <f ca="1">'Current Price out'!K30</f>
        <v>0</v>
      </c>
      <c r="I30" s="267">
        <f t="shared" ca="1" si="12"/>
        <v>0</v>
      </c>
      <c r="J30" s="266">
        <f t="shared" ca="1" si="3"/>
        <v>0</v>
      </c>
      <c r="K30" s="268">
        <f ca="1">MROUND(H30+J30,[12]References!$E$28)</f>
        <v>0</v>
      </c>
      <c r="L30" s="267">
        <f t="shared" ca="1" si="13"/>
        <v>0</v>
      </c>
      <c r="M30" s="267">
        <f t="shared" ca="1" si="11"/>
        <v>0</v>
      </c>
      <c r="P30" s="236"/>
    </row>
    <row r="31" spans="1:16">
      <c r="A31" s="690"/>
      <c r="B31" s="214"/>
      <c r="C31" s="215"/>
      <c r="D31" s="264" t="s">
        <v>173</v>
      </c>
      <c r="E31" s="216"/>
      <c r="F31" s="229">
        <f>[12]References!E6</f>
        <v>17.333333333333332</v>
      </c>
      <c r="G31" s="217">
        <f>E31*F31*12</f>
        <v>0</v>
      </c>
      <c r="H31" s="266">
        <f ca="1">'Current Price out'!K31</f>
        <v>0</v>
      </c>
      <c r="I31" s="267">
        <f t="shared" ca="1" si="12"/>
        <v>0</v>
      </c>
      <c r="J31" s="266">
        <f t="shared" ca="1" si="3"/>
        <v>0</v>
      </c>
      <c r="K31" s="268">
        <f ca="1">MROUND(H31+J31,[12]References!$E$28)</f>
        <v>0</v>
      </c>
      <c r="L31" s="267">
        <f t="shared" ca="1" si="13"/>
        <v>0</v>
      </c>
      <c r="M31" s="267">
        <f t="shared" ca="1" si="11"/>
        <v>0</v>
      </c>
    </row>
    <row r="32" spans="1:16">
      <c r="A32" s="690"/>
      <c r="B32" s="214"/>
      <c r="C32" s="215"/>
      <c r="D32" s="264" t="s">
        <v>174</v>
      </c>
      <c r="E32" s="216"/>
      <c r="F32" s="229">
        <f>[12]References!F6</f>
        <v>26</v>
      </c>
      <c r="G32" s="217">
        <f>E32*F32*12</f>
        <v>0</v>
      </c>
      <c r="H32" s="266">
        <f ca="1">'Current Price out'!K32</f>
        <v>0</v>
      </c>
      <c r="I32" s="267">
        <f t="shared" ca="1" si="12"/>
        <v>0</v>
      </c>
      <c r="J32" s="266">
        <f t="shared" ca="1" si="3"/>
        <v>0</v>
      </c>
      <c r="K32" s="268">
        <f ca="1">MROUND(H32+J32,[12]References!$E$28)</f>
        <v>0</v>
      </c>
      <c r="L32" s="267">
        <f t="shared" ca="1" si="13"/>
        <v>0</v>
      </c>
      <c r="M32" s="267">
        <f t="shared" ca="1" si="11"/>
        <v>0</v>
      </c>
    </row>
    <row r="33" spans="1:13">
      <c r="A33" s="690"/>
      <c r="B33" s="218"/>
      <c r="C33" s="219"/>
      <c r="D33" s="270" t="s">
        <v>175</v>
      </c>
      <c r="E33" s="220">
        <v>40</v>
      </c>
      <c r="F33" s="280">
        <f>[12]References!$D$9</f>
        <v>1</v>
      </c>
      <c r="G33" s="221">
        <f>E33*F33*12</f>
        <v>480</v>
      </c>
      <c r="H33" s="271">
        <f ca="1">'Current Price out'!K33</f>
        <v>36.275585372241849</v>
      </c>
      <c r="I33" s="272">
        <f t="shared" ca="1" si="12"/>
        <v>17412.280978676088</v>
      </c>
      <c r="J33" s="271">
        <f t="shared" ca="1" si="3"/>
        <v>2.3700258817308626</v>
      </c>
      <c r="K33" s="486">
        <f ca="1">MROUND(H33+J33,[12]References!$E$28)</f>
        <v>38.65</v>
      </c>
      <c r="L33" s="272">
        <f t="shared" ca="1" si="13"/>
        <v>18552</v>
      </c>
      <c r="M33" s="272">
        <f t="shared" ca="1" si="11"/>
        <v>1139.7190213239119</v>
      </c>
    </row>
    <row r="34" spans="1:13">
      <c r="A34" s="690"/>
      <c r="B34" s="447"/>
      <c r="C34" s="231"/>
      <c r="D34" s="279" t="s">
        <v>103</v>
      </c>
      <c r="E34" s="232">
        <f>SUM(E21:E33)</f>
        <v>69</v>
      </c>
      <c r="F34" s="280"/>
      <c r="G34" s="233">
        <f>SUM(G21:G33)</f>
        <v>2542.4486357394044</v>
      </c>
      <c r="H34" s="280"/>
      <c r="I34" s="234">
        <f ca="1">SUM(I21:I33)</f>
        <v>79604.908830764427</v>
      </c>
      <c r="J34" s="275"/>
      <c r="K34" s="280"/>
      <c r="L34" s="234">
        <f ca="1">SUM(L21:L33)</f>
        <v>84815.43977132799</v>
      </c>
      <c r="M34" s="234">
        <f ca="1">SUM(M21:M33)</f>
        <v>5210.5309405635599</v>
      </c>
    </row>
    <row r="35" spans="1:13">
      <c r="A35" s="691"/>
      <c r="B35" s="235"/>
      <c r="C35" s="231"/>
      <c r="D35" s="281" t="s">
        <v>176</v>
      </c>
      <c r="I35" s="236"/>
      <c r="J35" s="266">
        <f t="shared" ca="1" si="3"/>
        <v>0</v>
      </c>
      <c r="L35" s="236"/>
      <c r="M35" s="236"/>
    </row>
    <row r="36" spans="1:13" ht="24" customHeight="1">
      <c r="A36" s="235"/>
      <c r="B36" s="214">
        <v>100</v>
      </c>
      <c r="C36" s="215">
        <v>25</v>
      </c>
      <c r="D36" s="264" t="s">
        <v>177</v>
      </c>
      <c r="E36" s="216">
        <v>0</v>
      </c>
      <c r="F36" s="265"/>
      <c r="G36" s="217">
        <v>2276</v>
      </c>
      <c r="H36" s="266">
        <f ca="1">'Current Price out'!K36</f>
        <v>4.8648245114588491</v>
      </c>
      <c r="I36" s="267">
        <f ca="1">H36*G36</f>
        <v>11072.34058808034</v>
      </c>
      <c r="J36" s="266">
        <f t="shared" ca="1" si="3"/>
        <v>0.31783801374736098</v>
      </c>
      <c r="K36" s="268">
        <f ca="1">MROUND(H36+J36,[12]References!$E$28)</f>
        <v>5.18</v>
      </c>
      <c r="L36" s="267">
        <f ca="1">K36*G36</f>
        <v>11789.679999999998</v>
      </c>
      <c r="M36" s="267">
        <f ca="1">L36-I36</f>
        <v>717.33941191965823</v>
      </c>
    </row>
    <row r="37" spans="1:13" ht="14.45" customHeight="1">
      <c r="A37" s="692" t="s">
        <v>153</v>
      </c>
      <c r="B37" s="214">
        <v>100</v>
      </c>
      <c r="C37" s="215">
        <v>24</v>
      </c>
      <c r="D37" s="264" t="s">
        <v>178</v>
      </c>
      <c r="E37" s="237">
        <v>0</v>
      </c>
      <c r="F37" s="282"/>
      <c r="G37" s="217">
        <v>1472</v>
      </c>
      <c r="H37" s="266">
        <f ca="1">'Current Price out'!K37</f>
        <v>6.4759027587601565</v>
      </c>
      <c r="J37" s="266">
        <f t="shared" ca="1" si="3"/>
        <v>0.42309605726109739</v>
      </c>
      <c r="K37" s="268">
        <f ca="1">MROUND(H37+J37,[12]References!$E$28)</f>
        <v>6.9</v>
      </c>
      <c r="L37" s="267">
        <f ca="1">K37*G37</f>
        <v>10156.800000000001</v>
      </c>
      <c r="M37" s="267">
        <f ca="1">L37-I38</f>
        <v>624.27113910505068</v>
      </c>
    </row>
    <row r="38" spans="1:13">
      <c r="A38" s="690"/>
      <c r="B38" s="214">
        <v>55</v>
      </c>
      <c r="C38" s="215">
        <v>19</v>
      </c>
      <c r="D38" s="264" t="s">
        <v>179</v>
      </c>
      <c r="E38" s="237"/>
      <c r="F38" s="282"/>
      <c r="G38" s="217">
        <v>2.17</v>
      </c>
      <c r="H38" s="266">
        <f ca="1">'Current Price out'!K38</f>
        <v>4.8648245114588491</v>
      </c>
      <c r="I38" s="267">
        <f ca="1">H37*G37</f>
        <v>9532.5288608949504</v>
      </c>
      <c r="J38" s="266">
        <f t="shared" ca="1" si="3"/>
        <v>0.31783801374736098</v>
      </c>
      <c r="K38" s="268">
        <f ca="1">MROUND(H38+J38,[12]References!$E$28)</f>
        <v>5.18</v>
      </c>
      <c r="L38" s="267">
        <f ca="1">K38*G38</f>
        <v>11.240599999999999</v>
      </c>
      <c r="M38" s="267">
        <f ca="1">L38-I39</f>
        <v>11.240599999999999</v>
      </c>
    </row>
    <row r="39" spans="1:13">
      <c r="A39" s="690"/>
      <c r="B39" s="214"/>
      <c r="C39" s="215"/>
      <c r="D39" s="264"/>
      <c r="E39" s="237"/>
      <c r="F39" s="282"/>
      <c r="G39" s="217"/>
      <c r="H39" s="266">
        <f>'Current Price out'!K39</f>
        <v>0</v>
      </c>
      <c r="I39" s="267"/>
      <c r="J39" s="266"/>
      <c r="K39" s="268"/>
      <c r="L39" s="267"/>
      <c r="M39" s="267"/>
    </row>
    <row r="40" spans="1:13">
      <c r="A40" s="690"/>
      <c r="B40" s="214">
        <v>100</v>
      </c>
      <c r="C40" s="215">
        <v>25</v>
      </c>
      <c r="D40" s="264" t="s">
        <v>180</v>
      </c>
      <c r="E40" s="237">
        <v>0</v>
      </c>
      <c r="F40" s="282"/>
      <c r="G40" s="217">
        <v>4</v>
      </c>
      <c r="H40" s="266">
        <f ca="1">'Current Price out'!K40</f>
        <v>3.8328920393312145</v>
      </c>
      <c r="I40" s="267">
        <f ca="1">H40*G40</f>
        <v>15.331568157324858</v>
      </c>
      <c r="J40" s="266">
        <f t="shared" ca="1" si="3"/>
        <v>0.2504178290130723</v>
      </c>
      <c r="K40" s="268">
        <f ca="1">MROUND(H40+J40,[12]References!$E$28)</f>
        <v>4.08</v>
      </c>
      <c r="L40" s="267">
        <f ca="1">K40*G40</f>
        <v>16.32</v>
      </c>
      <c r="M40" s="267">
        <f ca="1">L40-I40</f>
        <v>0.98843184267514239</v>
      </c>
    </row>
    <row r="41" spans="1:13">
      <c r="A41" s="691"/>
      <c r="B41" s="218">
        <v>100</v>
      </c>
      <c r="C41" s="219">
        <v>25</v>
      </c>
      <c r="D41" s="270" t="s">
        <v>180</v>
      </c>
      <c r="E41" s="211">
        <v>0</v>
      </c>
      <c r="F41" s="284"/>
      <c r="G41" s="221">
        <v>4</v>
      </c>
      <c r="H41" s="271">
        <f ca="1">'Current Price out'!K41</f>
        <v>3.8328920393312145</v>
      </c>
      <c r="I41" s="272">
        <f ca="1">H41*G41</f>
        <v>15.331568157324858</v>
      </c>
      <c r="J41" s="271">
        <f t="shared" ca="1" si="3"/>
        <v>0.2504178290130723</v>
      </c>
      <c r="K41" s="268">
        <f ca="1">MROUND(H41+J41,[12]References!$E$28)</f>
        <v>4.08</v>
      </c>
      <c r="L41" s="272">
        <f ca="1">K41*G41</f>
        <v>16.32</v>
      </c>
      <c r="M41" s="272">
        <f ca="1">L41-I41</f>
        <v>0.98843184267514239</v>
      </c>
    </row>
    <row r="42" spans="1:13" ht="14.45" customHeight="1">
      <c r="A42" s="692" t="s">
        <v>167</v>
      </c>
      <c r="B42" s="222"/>
      <c r="C42" s="215"/>
      <c r="D42" s="273" t="s">
        <v>103</v>
      </c>
      <c r="E42" s="238"/>
      <c r="F42" s="238"/>
      <c r="G42" s="239">
        <f>SUM(G36:G41)</f>
        <v>3758.17</v>
      </c>
      <c r="H42" s="242"/>
      <c r="I42" s="241">
        <f ca="1">SUM(I36:I41)</f>
        <v>20635.53258528994</v>
      </c>
      <c r="J42" s="271"/>
      <c r="K42" s="242"/>
      <c r="L42" s="243">
        <f ca="1">SUM(L36:L41)</f>
        <v>21990.3606</v>
      </c>
      <c r="M42" s="243">
        <f ca="1">SUM(M36:M41)</f>
        <v>1354.8280147100595</v>
      </c>
    </row>
    <row r="43" spans="1:13">
      <c r="A43" s="690"/>
      <c r="B43" s="214">
        <v>100</v>
      </c>
      <c r="C43" s="226">
        <v>22</v>
      </c>
      <c r="D43" s="276" t="s">
        <v>181</v>
      </c>
      <c r="E43" s="227">
        <v>0</v>
      </c>
      <c r="F43" s="286"/>
      <c r="G43" s="228">
        <f>166/5.53</f>
        <v>30.018083182640144</v>
      </c>
      <c r="H43" s="266">
        <f ca="1">'Current Price out'!K43</f>
        <v>0</v>
      </c>
      <c r="I43" s="267">
        <f ca="1">H43*G43</f>
        <v>0</v>
      </c>
      <c r="J43" s="266">
        <f t="shared" ca="1" si="3"/>
        <v>0</v>
      </c>
      <c r="K43" s="268">
        <f ca="1">MROUND(H43+J43,[12]References!$E$28)</f>
        <v>0</v>
      </c>
      <c r="L43" s="267">
        <f ca="1">K43*G43</f>
        <v>0</v>
      </c>
      <c r="M43" s="267">
        <f ca="1">L43-I43</f>
        <v>0</v>
      </c>
    </row>
    <row r="44" spans="1:13">
      <c r="A44" s="690"/>
      <c r="B44" s="214">
        <v>100</v>
      </c>
      <c r="C44" s="215">
        <v>22</v>
      </c>
      <c r="D44" s="264" t="s">
        <v>182</v>
      </c>
      <c r="E44" s="216">
        <v>1513</v>
      </c>
      <c r="F44" s="265"/>
      <c r="G44" s="217">
        <f>7628/32.72</f>
        <v>233.12958435207824</v>
      </c>
      <c r="H44" s="266">
        <f ca="1">'Current Price out'!K44</f>
        <v>41.803795044354182</v>
      </c>
      <c r="I44" s="267">
        <f ca="1">H44*G44</f>
        <v>9745.7013630297588</v>
      </c>
      <c r="J44" s="266">
        <f t="shared" ca="1" si="3"/>
        <v>2.7312054428074091</v>
      </c>
      <c r="K44" s="268">
        <f ca="1">MROUND(H44+J44,[12]References!$E$28)</f>
        <v>44.54</v>
      </c>
      <c r="L44" s="267">
        <f ca="1">K44*G44</f>
        <v>10383.591687041564</v>
      </c>
      <c r="M44" s="267">
        <f ca="1">L44-I44</f>
        <v>637.89032401180521</v>
      </c>
    </row>
    <row r="45" spans="1:13">
      <c r="A45" s="690"/>
      <c r="B45" s="214">
        <v>100</v>
      </c>
      <c r="C45" s="215">
        <v>22</v>
      </c>
      <c r="D45" s="264" t="s">
        <v>183</v>
      </c>
      <c r="E45" s="216">
        <v>0</v>
      </c>
      <c r="F45" s="265"/>
      <c r="G45" s="217">
        <f>1040/38.06</f>
        <v>27.325275880189174</v>
      </c>
      <c r="H45" s="266">
        <f ca="1">'Current Price out'!K45</f>
        <v>0</v>
      </c>
      <c r="I45" s="267">
        <f ca="1">H45*G45</f>
        <v>0</v>
      </c>
      <c r="J45" s="266">
        <f t="shared" ca="1" si="3"/>
        <v>0</v>
      </c>
      <c r="K45" s="268">
        <f ca="1">MROUND(H45+J45,[12]References!$E$28)</f>
        <v>0</v>
      </c>
      <c r="L45" s="267">
        <f ca="1">K45*G45</f>
        <v>0</v>
      </c>
      <c r="M45" s="267">
        <f ca="1">L45-I45</f>
        <v>0</v>
      </c>
    </row>
    <row r="46" spans="1:13">
      <c r="A46" s="691"/>
      <c r="B46" s="218">
        <v>100</v>
      </c>
      <c r="C46" s="219">
        <v>22</v>
      </c>
      <c r="D46" s="270" t="s">
        <v>184</v>
      </c>
      <c r="E46" s="220">
        <v>0</v>
      </c>
      <c r="F46" s="280"/>
      <c r="G46" s="221">
        <f>17928/32.72</f>
        <v>547.92176039119806</v>
      </c>
      <c r="H46" s="266">
        <f ca="1">'Current Price out'!K46</f>
        <v>0</v>
      </c>
      <c r="I46" s="267">
        <f ca="1">H46*G46</f>
        <v>0</v>
      </c>
      <c r="J46" s="271">
        <f t="shared" ca="1" si="3"/>
        <v>0</v>
      </c>
      <c r="K46" s="268">
        <f ca="1">MROUND(H46+J46,[12]References!$E$28)</f>
        <v>0</v>
      </c>
      <c r="L46" s="267">
        <f ca="1">K46*G46</f>
        <v>0</v>
      </c>
      <c r="M46" s="267">
        <f ca="1">L46-I46</f>
        <v>0</v>
      </c>
    </row>
    <row r="47" spans="1:13" ht="16.5" thickBot="1">
      <c r="A47" s="244"/>
      <c r="B47" s="447"/>
      <c r="C47" s="231"/>
      <c r="D47" s="279" t="s">
        <v>103</v>
      </c>
      <c r="E47" s="245"/>
      <c r="F47" s="245"/>
      <c r="G47" s="246">
        <f>SUM(G43:G46)</f>
        <v>838.39470380610555</v>
      </c>
      <c r="H47" s="247"/>
      <c r="I47" s="248">
        <f ca="1">SUM(I43:I46)</f>
        <v>9745.7013630297588</v>
      </c>
      <c r="J47" s="275"/>
      <c r="K47" s="247"/>
      <c r="L47" s="248">
        <f t="shared" ref="L47:M47" ca="1" si="14">SUM(L43:L46)</f>
        <v>10383.591687041564</v>
      </c>
      <c r="M47" s="248">
        <f t="shared" ca="1" si="14"/>
        <v>637.89032401180521</v>
      </c>
    </row>
    <row r="48" spans="1:13" ht="17.25" thickTop="1" thickBot="1">
      <c r="B48" s="244"/>
      <c r="C48" s="244"/>
      <c r="D48" s="287" t="s">
        <v>185</v>
      </c>
      <c r="E48" s="249">
        <f>E47+E42+E34+E20</f>
        <v>2168</v>
      </c>
      <c r="F48" s="244"/>
      <c r="G48" s="249">
        <f>G47+G42+G34+G20</f>
        <v>64889.990139545516</v>
      </c>
      <c r="H48" s="244"/>
      <c r="I48" s="250">
        <f ca="1">I47+I42+I34+I20</f>
        <v>411367.30307342939</v>
      </c>
      <c r="J48" s="288"/>
      <c r="K48" s="244"/>
      <c r="L48" s="250">
        <f ca="1">L47+L42+L34+L20</f>
        <v>438260.96238563594</v>
      </c>
      <c r="M48" s="250">
        <f ca="1">M47+M42+M34+M20</f>
        <v>26893.659312206539</v>
      </c>
    </row>
    <row r="49" spans="1:13" ht="26.45" customHeight="1" thickTop="1"/>
    <row r="50" spans="1:13" ht="14.45" customHeight="1">
      <c r="A50" s="690"/>
      <c r="D50" s="289" t="s">
        <v>186</v>
      </c>
    </row>
    <row r="51" spans="1:13">
      <c r="A51" s="690"/>
      <c r="B51" s="446"/>
      <c r="C51" s="215">
        <v>23</v>
      </c>
      <c r="D51" s="264" t="s">
        <v>187</v>
      </c>
      <c r="E51" s="216">
        <v>0</v>
      </c>
      <c r="F51" s="265">
        <f>52/12/2</f>
        <v>2.1666666666666665</v>
      </c>
      <c r="G51" s="229">
        <f t="shared" ref="G51:G65" si="15">F51*12</f>
        <v>26</v>
      </c>
      <c r="H51" s="266">
        <v>5.63</v>
      </c>
      <c r="I51" s="290">
        <f t="shared" ref="I51:I65" si="16">E51*H51*12</f>
        <v>0</v>
      </c>
      <c r="J51" s="266"/>
      <c r="K51" s="266">
        <v>10.24</v>
      </c>
      <c r="L51" s="290">
        <f t="shared" ref="L51:L65" si="17">E51*K51*12</f>
        <v>0</v>
      </c>
      <c r="M51" s="290">
        <f t="shared" ref="M51:M65" si="18">L51-I51</f>
        <v>0</v>
      </c>
    </row>
    <row r="52" spans="1:13">
      <c r="A52" s="690"/>
      <c r="B52" s="446"/>
      <c r="C52" s="215">
        <v>23</v>
      </c>
      <c r="D52" s="264" t="s">
        <v>188</v>
      </c>
      <c r="E52" s="216">
        <v>0</v>
      </c>
      <c r="F52" s="265">
        <v>1</v>
      </c>
      <c r="G52" s="229">
        <f t="shared" si="15"/>
        <v>12</v>
      </c>
      <c r="H52" s="266">
        <v>3.64</v>
      </c>
      <c r="I52" s="290">
        <f t="shared" si="16"/>
        <v>0</v>
      </c>
      <c r="J52" s="266"/>
      <c r="K52" s="266">
        <v>7.86</v>
      </c>
      <c r="L52" s="290">
        <f t="shared" si="17"/>
        <v>0</v>
      </c>
      <c r="M52" s="290">
        <f t="shared" si="18"/>
        <v>0</v>
      </c>
    </row>
    <row r="53" spans="1:13">
      <c r="A53" s="690"/>
      <c r="B53" s="446"/>
      <c r="C53" s="215">
        <v>23</v>
      </c>
      <c r="D53" s="264" t="s">
        <v>189</v>
      </c>
      <c r="E53" s="216">
        <v>0</v>
      </c>
      <c r="F53" s="265">
        <v>1</v>
      </c>
      <c r="G53" s="229">
        <f t="shared" si="15"/>
        <v>12</v>
      </c>
      <c r="H53" s="266">
        <v>0</v>
      </c>
      <c r="I53" s="290">
        <f t="shared" si="16"/>
        <v>0</v>
      </c>
      <c r="J53" s="266"/>
      <c r="K53" s="266">
        <v>15.68</v>
      </c>
      <c r="L53" s="290">
        <f t="shared" si="17"/>
        <v>0</v>
      </c>
      <c r="M53" s="290">
        <f t="shared" si="18"/>
        <v>0</v>
      </c>
    </row>
    <row r="54" spans="1:13">
      <c r="A54" s="690"/>
      <c r="B54" s="446"/>
      <c r="C54" s="215">
        <v>23</v>
      </c>
      <c r="D54" s="264" t="s">
        <v>190</v>
      </c>
      <c r="E54" s="216">
        <v>0</v>
      </c>
      <c r="F54" s="265">
        <v>1</v>
      </c>
      <c r="G54" s="229">
        <f t="shared" si="15"/>
        <v>12</v>
      </c>
      <c r="H54" s="266">
        <v>0</v>
      </c>
      <c r="I54" s="290">
        <f t="shared" si="16"/>
        <v>0</v>
      </c>
      <c r="J54" s="266"/>
      <c r="K54" s="266">
        <v>18.61</v>
      </c>
      <c r="L54" s="290">
        <f t="shared" si="17"/>
        <v>0</v>
      </c>
      <c r="M54" s="290">
        <f t="shared" si="18"/>
        <v>0</v>
      </c>
    </row>
    <row r="55" spans="1:13">
      <c r="A55" s="690"/>
      <c r="B55" s="446"/>
      <c r="C55" s="215">
        <v>23</v>
      </c>
      <c r="D55" s="264" t="s">
        <v>191</v>
      </c>
      <c r="E55" s="216">
        <v>0</v>
      </c>
      <c r="F55" s="265">
        <f>52/12/2</f>
        <v>2.1666666666666665</v>
      </c>
      <c r="G55" s="229">
        <f t="shared" si="15"/>
        <v>26</v>
      </c>
      <c r="H55" s="266">
        <v>0</v>
      </c>
      <c r="I55" s="290">
        <f t="shared" si="16"/>
        <v>0</v>
      </c>
      <c r="J55" s="266"/>
      <c r="K55" s="266">
        <v>32.229999999999997</v>
      </c>
      <c r="L55" s="290">
        <f t="shared" si="17"/>
        <v>0</v>
      </c>
      <c r="M55" s="290">
        <f t="shared" si="18"/>
        <v>0</v>
      </c>
    </row>
    <row r="56" spans="1:13">
      <c r="A56" s="690"/>
      <c r="B56" s="446"/>
      <c r="C56" s="215">
        <v>23</v>
      </c>
      <c r="D56" s="264" t="s">
        <v>192</v>
      </c>
      <c r="E56" s="216">
        <v>0</v>
      </c>
      <c r="F56" s="265">
        <v>1</v>
      </c>
      <c r="G56" s="229">
        <f t="shared" si="15"/>
        <v>12</v>
      </c>
      <c r="H56" s="266">
        <v>0</v>
      </c>
      <c r="I56" s="290">
        <f t="shared" si="16"/>
        <v>0</v>
      </c>
      <c r="J56" s="266"/>
      <c r="K56" s="266">
        <v>21.48</v>
      </c>
      <c r="L56" s="290">
        <f t="shared" si="17"/>
        <v>0</v>
      </c>
      <c r="M56" s="290">
        <f t="shared" si="18"/>
        <v>0</v>
      </c>
    </row>
    <row r="57" spans="1:13">
      <c r="A57" s="690"/>
      <c r="B57" s="446"/>
      <c r="C57" s="215">
        <v>23</v>
      </c>
      <c r="D57" s="264" t="s">
        <v>193</v>
      </c>
      <c r="E57" s="216">
        <v>0</v>
      </c>
      <c r="F57" s="265">
        <f>52/12/2</f>
        <v>2.1666666666666665</v>
      </c>
      <c r="G57" s="229">
        <f t="shared" si="15"/>
        <v>26</v>
      </c>
      <c r="H57" s="266">
        <v>0</v>
      </c>
      <c r="I57" s="290">
        <f t="shared" si="16"/>
        <v>0</v>
      </c>
      <c r="J57" s="266"/>
      <c r="K57" s="266">
        <v>25.87</v>
      </c>
      <c r="L57" s="290">
        <f t="shared" si="17"/>
        <v>0</v>
      </c>
      <c r="M57" s="290">
        <f t="shared" si="18"/>
        <v>0</v>
      </c>
    </row>
    <row r="58" spans="1:13">
      <c r="A58" s="690"/>
      <c r="B58" s="446"/>
      <c r="C58" s="215">
        <v>23</v>
      </c>
      <c r="D58" s="264" t="s">
        <v>194</v>
      </c>
      <c r="E58" s="216">
        <v>0</v>
      </c>
      <c r="F58" s="265">
        <v>1</v>
      </c>
      <c r="G58" s="229">
        <f t="shared" si="15"/>
        <v>12</v>
      </c>
      <c r="H58" s="266">
        <v>0</v>
      </c>
      <c r="I58" s="290">
        <f t="shared" si="16"/>
        <v>0</v>
      </c>
      <c r="J58" s="266"/>
      <c r="K58" s="266">
        <v>17.13</v>
      </c>
      <c r="L58" s="290">
        <f t="shared" si="17"/>
        <v>0</v>
      </c>
      <c r="M58" s="290">
        <f t="shared" si="18"/>
        <v>0</v>
      </c>
    </row>
    <row r="59" spans="1:13">
      <c r="A59" s="690"/>
      <c r="B59" s="446"/>
      <c r="C59" s="215">
        <v>23</v>
      </c>
      <c r="D59" s="264" t="s">
        <v>195</v>
      </c>
      <c r="E59" s="216">
        <v>0</v>
      </c>
      <c r="F59" s="265">
        <f>52/12/2</f>
        <v>2.1666666666666665</v>
      </c>
      <c r="G59" s="229">
        <f t="shared" si="15"/>
        <v>26</v>
      </c>
      <c r="H59" s="266">
        <v>0</v>
      </c>
      <c r="I59" s="290">
        <f t="shared" si="16"/>
        <v>0</v>
      </c>
      <c r="J59" s="266"/>
      <c r="K59" s="266">
        <v>29.26</v>
      </c>
      <c r="L59" s="290">
        <f t="shared" si="17"/>
        <v>0</v>
      </c>
      <c r="M59" s="290">
        <f t="shared" si="18"/>
        <v>0</v>
      </c>
    </row>
    <row r="60" spans="1:13">
      <c r="A60" s="690"/>
      <c r="B60" s="446"/>
      <c r="C60" s="215">
        <v>23</v>
      </c>
      <c r="D60" s="264" t="s">
        <v>196</v>
      </c>
      <c r="E60" s="216">
        <v>0</v>
      </c>
      <c r="F60" s="265">
        <v>1</v>
      </c>
      <c r="G60" s="229">
        <f t="shared" si="15"/>
        <v>12</v>
      </c>
      <c r="H60" s="266">
        <v>0</v>
      </c>
      <c r="I60" s="290">
        <f t="shared" si="16"/>
        <v>0</v>
      </c>
      <c r="J60" s="266"/>
      <c r="K60" s="266">
        <v>18.71</v>
      </c>
      <c r="L60" s="290">
        <f t="shared" si="17"/>
        <v>0</v>
      </c>
      <c r="M60" s="290">
        <f t="shared" si="18"/>
        <v>0</v>
      </c>
    </row>
    <row r="61" spans="1:13">
      <c r="A61" s="690"/>
      <c r="B61" s="446"/>
      <c r="C61" s="215">
        <v>24</v>
      </c>
      <c r="D61" s="264" t="s">
        <v>197</v>
      </c>
      <c r="E61" s="216">
        <v>0</v>
      </c>
      <c r="F61" s="265">
        <v>1</v>
      </c>
      <c r="G61" s="229">
        <f t="shared" si="15"/>
        <v>12</v>
      </c>
      <c r="H61" s="266">
        <v>0</v>
      </c>
      <c r="I61" s="290">
        <f t="shared" si="16"/>
        <v>0</v>
      </c>
      <c r="J61" s="266"/>
      <c r="K61" s="266">
        <v>9.6999999999999993</v>
      </c>
      <c r="L61" s="290">
        <f t="shared" si="17"/>
        <v>0</v>
      </c>
      <c r="M61" s="290">
        <f t="shared" si="18"/>
        <v>0</v>
      </c>
    </row>
    <row r="62" spans="1:13">
      <c r="A62" s="690"/>
      <c r="B62" s="446"/>
      <c r="C62" s="215">
        <v>24</v>
      </c>
      <c r="D62" s="264" t="s">
        <v>198</v>
      </c>
      <c r="E62" s="216">
        <v>0</v>
      </c>
      <c r="F62" s="265">
        <v>1</v>
      </c>
      <c r="G62" s="229">
        <f t="shared" si="15"/>
        <v>12</v>
      </c>
      <c r="H62" s="266">
        <v>0</v>
      </c>
      <c r="I62" s="290">
        <f t="shared" si="16"/>
        <v>0</v>
      </c>
      <c r="J62" s="266"/>
      <c r="K62" s="266">
        <v>3.73</v>
      </c>
      <c r="L62" s="290">
        <f t="shared" si="17"/>
        <v>0</v>
      </c>
      <c r="M62" s="290">
        <f t="shared" si="18"/>
        <v>0</v>
      </c>
    </row>
    <row r="63" spans="1:13">
      <c r="A63" s="690"/>
      <c r="B63" s="446"/>
      <c r="C63" s="215">
        <v>24</v>
      </c>
      <c r="D63" s="264" t="s">
        <v>199</v>
      </c>
      <c r="E63" s="216">
        <v>0</v>
      </c>
      <c r="F63" s="265">
        <v>1</v>
      </c>
      <c r="G63" s="229">
        <f t="shared" si="15"/>
        <v>12</v>
      </c>
      <c r="H63" s="266">
        <v>0</v>
      </c>
      <c r="I63" s="290">
        <f t="shared" si="16"/>
        <v>0</v>
      </c>
      <c r="J63" s="266"/>
      <c r="K63" s="266">
        <v>7.16</v>
      </c>
      <c r="L63" s="290">
        <f t="shared" si="17"/>
        <v>0</v>
      </c>
      <c r="M63" s="290">
        <f t="shared" si="18"/>
        <v>0</v>
      </c>
    </row>
    <row r="64" spans="1:13">
      <c r="A64" s="691"/>
      <c r="B64" s="446"/>
      <c r="C64" s="215">
        <v>24</v>
      </c>
      <c r="D64" s="264" t="s">
        <v>200</v>
      </c>
      <c r="E64" s="237">
        <v>0</v>
      </c>
      <c r="F64" s="282">
        <v>1</v>
      </c>
      <c r="G64" s="229">
        <f t="shared" si="15"/>
        <v>12</v>
      </c>
      <c r="H64" s="283">
        <v>0</v>
      </c>
      <c r="I64" s="290">
        <f t="shared" si="16"/>
        <v>0</v>
      </c>
      <c r="J64" s="283"/>
      <c r="K64" s="283">
        <v>8.98</v>
      </c>
      <c r="L64" s="290">
        <f t="shared" si="17"/>
        <v>0</v>
      </c>
      <c r="M64" s="290">
        <f t="shared" si="18"/>
        <v>0</v>
      </c>
    </row>
    <row r="65" spans="2:13">
      <c r="B65" s="447"/>
      <c r="C65" s="219">
        <v>24</v>
      </c>
      <c r="D65" s="270" t="s">
        <v>201</v>
      </c>
      <c r="E65" s="211">
        <v>0</v>
      </c>
      <c r="F65" s="284">
        <v>1</v>
      </c>
      <c r="G65" s="252">
        <f t="shared" si="15"/>
        <v>12</v>
      </c>
      <c r="H65" s="285">
        <v>0</v>
      </c>
      <c r="I65" s="291">
        <f t="shared" si="16"/>
        <v>0</v>
      </c>
      <c r="J65" s="285"/>
      <c r="K65" s="285">
        <v>11.93</v>
      </c>
      <c r="L65" s="291">
        <f t="shared" si="17"/>
        <v>0</v>
      </c>
      <c r="M65" s="291">
        <f t="shared" si="18"/>
        <v>0</v>
      </c>
    </row>
    <row r="66" spans="2:13">
      <c r="H66" s="266">
        <v>11</v>
      </c>
    </row>
    <row r="67" spans="2:13">
      <c r="E67" s="292"/>
      <c r="I67" s="253"/>
      <c r="L67" s="229"/>
      <c r="M67" s="254"/>
    </row>
    <row r="68" spans="2:13">
      <c r="E68" s="292"/>
      <c r="I68" s="253"/>
      <c r="K68" s="255" t="s">
        <v>202</v>
      </c>
      <c r="L68" s="293" t="s">
        <v>139</v>
      </c>
      <c r="M68" s="256">
        <f ca="1">M48</f>
        <v>26893.659312206539</v>
      </c>
    </row>
    <row r="69" spans="2:13">
      <c r="E69" s="257"/>
      <c r="I69" s="254"/>
      <c r="L69" s="293" t="s">
        <v>203</v>
      </c>
      <c r="M69" s="258">
        <f ca="1">'Garbage LG 2019 '!M21</f>
        <v>30233.865457565247</v>
      </c>
    </row>
    <row r="70" spans="2:13">
      <c r="E70" s="257"/>
      <c r="I70" s="253"/>
      <c r="L70" s="293" t="s">
        <v>204</v>
      </c>
      <c r="M70" s="256">
        <f ca="1">M68-M69</f>
        <v>-3340.2061453587085</v>
      </c>
    </row>
    <row r="71" spans="2:13">
      <c r="E71" s="257"/>
      <c r="I71" s="253"/>
      <c r="L71" s="293"/>
      <c r="M71" s="256"/>
    </row>
    <row r="72" spans="2:13">
      <c r="D72" s="259" t="s">
        <v>474</v>
      </c>
      <c r="E72" s="294"/>
      <c r="H72" s="260" t="s">
        <v>298</v>
      </c>
      <c r="I72" s="261" t="s">
        <v>141</v>
      </c>
      <c r="J72" s="12">
        <f ca="1">'Recycling LG 2019'!M21/'Recycling LG 2019'!C5</f>
        <v>-0.5515455792463142</v>
      </c>
      <c r="K72" s="260"/>
      <c r="L72" s="261"/>
      <c r="M72" s="254"/>
    </row>
    <row r="73" spans="2:13">
      <c r="B73" s="214">
        <v>100</v>
      </c>
      <c r="C73" s="215">
        <v>24</v>
      </c>
      <c r="D73" s="264" t="s">
        <v>161</v>
      </c>
      <c r="E73" s="216">
        <f>(18916/5.33)/12</f>
        <v>295.74734208880551</v>
      </c>
      <c r="F73" s="265">
        <f>[12]References!$D$8</f>
        <v>2.1666666666666665</v>
      </c>
      <c r="G73" s="217">
        <f>E73*F73*12</f>
        <v>7689.4308943089418</v>
      </c>
      <c r="H73" s="266">
        <f ca="1">'Current Price out'!K72</f>
        <v>12.472531187794232</v>
      </c>
      <c r="I73" s="267">
        <f ca="1">E73*H73*12</f>
        <v>44264.615374918518</v>
      </c>
      <c r="J73" s="266">
        <f ca="1">($J$72*H73)</f>
        <v>-6.8791694386396891</v>
      </c>
      <c r="K73" s="666">
        <f ca="1">H73+J73</f>
        <v>5.5933617491545427</v>
      </c>
      <c r="L73" s="267">
        <f t="shared" ref="L73" ca="1" si="19">E73*K73*12</f>
        <v>19850.662447843777</v>
      </c>
      <c r="M73" s="267">
        <f t="shared" ref="M73" ca="1" si="20">L73-I73</f>
        <v>-24413.952927074741</v>
      </c>
    </row>
    <row r="74" spans="2:13">
      <c r="B74" s="487"/>
      <c r="C74" s="487"/>
      <c r="D74" s="264" t="s">
        <v>542</v>
      </c>
      <c r="E74" s="481">
        <f>2100-E73</f>
        <v>1804.2526579111945</v>
      </c>
      <c r="F74" s="488">
        <v>2.17</v>
      </c>
      <c r="G74" s="665">
        <f>E74*F74*12</f>
        <v>46982.739212007509</v>
      </c>
      <c r="H74" s="658">
        <f ca="1">H73</f>
        <v>12.472531187794232</v>
      </c>
      <c r="I74" s="571">
        <f ca="1">E74*H74*12</f>
        <v>270043.17055749614</v>
      </c>
      <c r="J74" s="489">
        <f ca="1">($J$72*H74)</f>
        <v>-6.8791694386396891</v>
      </c>
      <c r="K74" s="666">
        <f ca="1">H74+J74</f>
        <v>5.5933617491545427</v>
      </c>
      <c r="L74" s="571">
        <f t="shared" ref="L74" ca="1" si="21">E74*K74*12</f>
        <v>121102.0536308507</v>
      </c>
      <c r="M74" s="571">
        <f t="shared" ref="M74" ca="1" si="22">L74-I74</f>
        <v>-148941.11692664545</v>
      </c>
    </row>
    <row r="75" spans="2:13">
      <c r="D75" s="254"/>
      <c r="E75" s="293"/>
      <c r="F75" s="295"/>
      <c r="G75" s="254"/>
      <c r="H75" s="262"/>
      <c r="I75" s="256"/>
      <c r="J75" s="262"/>
      <c r="K75" s="269"/>
      <c r="L75" s="294"/>
    </row>
    <row r="76" spans="2:13">
      <c r="D76" s="254"/>
      <c r="E76" s="293"/>
      <c r="F76" s="295"/>
      <c r="G76" s="207" t="s">
        <v>503</v>
      </c>
      <c r="H76" s="262"/>
      <c r="I76" s="225">
        <f ca="1">I48+I73+I74</f>
        <v>725675.08900584397</v>
      </c>
      <c r="J76" s="262"/>
      <c r="K76" s="269"/>
      <c r="L76" s="225">
        <f ca="1">L48+L73+L74</f>
        <v>579213.67846433038</v>
      </c>
    </row>
    <row r="77" spans="2:13">
      <c r="D77" s="254"/>
      <c r="E77" s="293"/>
      <c r="F77" s="295"/>
      <c r="G77" s="207" t="s">
        <v>501</v>
      </c>
      <c r="H77" s="262"/>
      <c r="I77" s="544">
        <f ca="1">'Income Statement'!Y18</f>
        <v>548037.28881204978</v>
      </c>
      <c r="J77" s="262"/>
      <c r="K77" s="269"/>
      <c r="L77" s="544">
        <f ca="1">'Income Statement'!AA18</f>
        <v>655954.14288858429</v>
      </c>
    </row>
    <row r="78" spans="2:13">
      <c r="D78" s="254"/>
      <c r="E78" s="263"/>
      <c r="F78" s="254"/>
      <c r="G78" s="207" t="s">
        <v>502</v>
      </c>
      <c r="H78" s="254"/>
      <c r="I78" s="543">
        <f ca="1">I76-I77+'Income Statement'!T12</f>
        <v>225375.5001937942</v>
      </c>
      <c r="J78" s="254"/>
      <c r="K78" s="256"/>
      <c r="L78" s="545">
        <f ca="1">L76-L77+'Income Statement'!V12</f>
        <v>-29002.764424253903</v>
      </c>
    </row>
    <row r="79" spans="2:13">
      <c r="D79" s="254"/>
      <c r="E79" s="254"/>
      <c r="F79" s="254"/>
      <c r="H79" s="254"/>
      <c r="I79" s="254"/>
      <c r="J79" s="254"/>
      <c r="K79" s="254"/>
      <c r="L79" s="254"/>
    </row>
    <row r="80" spans="2:13">
      <c r="D80" s="254"/>
      <c r="E80" s="254"/>
      <c r="F80" s="254"/>
    </row>
    <row r="81" spans="4:6">
      <c r="D81" s="254"/>
      <c r="E81" s="254"/>
      <c r="F81" s="254"/>
    </row>
    <row r="82" spans="4:6">
      <c r="D82" s="254"/>
      <c r="E82" s="254"/>
      <c r="F82" s="254"/>
    </row>
    <row r="83" spans="4:6">
      <c r="D83" s="254"/>
      <c r="E83" s="254"/>
      <c r="F83" s="254"/>
    </row>
    <row r="84" spans="4:6">
      <c r="D84" s="254"/>
      <c r="E84" s="254"/>
      <c r="F84" s="254"/>
    </row>
  </sheetData>
  <mergeCells count="5">
    <mergeCell ref="A6:A20"/>
    <mergeCell ref="A21:A35"/>
    <mergeCell ref="A37:A41"/>
    <mergeCell ref="A42:A46"/>
    <mergeCell ref="A50:A64"/>
  </mergeCells>
  <pageMargins left="0.2" right="0.22" top="0.38" bottom="0.34" header="0.19" footer="0.17"/>
  <pageSetup scale="52" orientation="landscape" r:id="rId1"/>
  <headerFooter>
    <oddFooter>&amp;L&amp;F&amp;A&amp;R&amp;D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2018-09-14T07:00:00+00:00</OpenedDate>
    <SignificantOrder xmlns="dc463f71-b30c-4ab2-9473-d307f9d35888">false</SignificantOrder>
    <Date1 xmlns="dc463f71-b30c-4ab2-9473-d307f9d35888">2018-09-18T07:00:00+00:00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Freedom 2000, LLC</CaseCompanyNames>
    <Nickname xmlns="http://schemas.microsoft.com/sharepoint/v3" xsi:nil="true"/>
    <DocketNumber xmlns="dc463f71-b30c-4ab2-9473-d307f9d35888">180782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99DA38EAF13C4C9ECCD5992B8BCAE8" ma:contentTypeVersion="76" ma:contentTypeDescription="" ma:contentTypeScope="" ma:versionID="6d86b80ee1df0f851e89b6912d52be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DE0132-705A-45A7-9C83-6D371D4D45DE}">
  <ds:schemaRefs>
    <ds:schemaRef ds:uri="http://purl.org/dc/terms/"/>
    <ds:schemaRef ds:uri="94ccb0f8-418e-41dd-ac47-c8b0a5d07e7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2A39CC-6F5D-4FA8-A287-326EC7D294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22633-C2E7-41BF-85A5-BFDE04BE10CD}"/>
</file>

<file path=customXml/itemProps4.xml><?xml version="1.0" encoding="utf-8"?>
<ds:datastoreItem xmlns:ds="http://schemas.openxmlformats.org/officeDocument/2006/customXml" ds:itemID="{6C19329C-51B6-4262-9025-21AA570A8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68</vt:i4>
      </vt:variant>
    </vt:vector>
  </HeadingPairs>
  <TitlesOfParts>
    <vt:vector size="95" baseType="lpstr">
      <vt:lpstr>Income Statement</vt:lpstr>
      <vt:lpstr>Garbage Adj.</vt:lpstr>
      <vt:lpstr>Recycling Adj.</vt:lpstr>
      <vt:lpstr>Current Garbage LG 2018</vt:lpstr>
      <vt:lpstr>Garbage LG 2019 </vt:lpstr>
      <vt:lpstr>Current Recycling LG 2018</vt:lpstr>
      <vt:lpstr>Recycling LG 2019</vt:lpstr>
      <vt:lpstr>Current Price out</vt:lpstr>
      <vt:lpstr>Projected price out</vt:lpstr>
      <vt:lpstr>Assets</vt:lpstr>
      <vt:lpstr>Cando 2019</vt:lpstr>
      <vt:lpstr>Total Hrs</vt:lpstr>
      <vt:lpstr>Drive Hours Recap</vt:lpstr>
      <vt:lpstr>Tonnage</vt:lpstr>
      <vt:lpstr>Instructions</vt:lpstr>
      <vt:lpstr>Jan DH</vt:lpstr>
      <vt:lpstr>Feb DH</vt:lpstr>
      <vt:lpstr>MarDH</vt:lpstr>
      <vt:lpstr>AprDH</vt:lpstr>
      <vt:lpstr>MayDH</vt:lpstr>
      <vt:lpstr>JuneDH</vt:lpstr>
      <vt:lpstr>JulyDH</vt:lpstr>
      <vt:lpstr>AugDH</vt:lpstr>
      <vt:lpstr>SeptDH</vt:lpstr>
      <vt:lpstr>OctDH</vt:lpstr>
      <vt:lpstr>NovDH</vt:lpstr>
      <vt:lpstr>DecDH</vt:lpstr>
      <vt:lpstr>'Current Garbage LG 2018'!Debt_Rate</vt:lpstr>
      <vt:lpstr>'Current Recycling LG 2018'!Debt_Rate</vt:lpstr>
      <vt:lpstr>'Garbage LG 2019 '!Debt_Rate</vt:lpstr>
      <vt:lpstr>'Recycling LG 2019'!Debt_Rate</vt:lpstr>
      <vt:lpstr>'Current Garbage LG 2018'!debtP</vt:lpstr>
      <vt:lpstr>'Current Recycling LG 2018'!debtP</vt:lpstr>
      <vt:lpstr>'Garbage LG 2019 '!debtP</vt:lpstr>
      <vt:lpstr>'Recycling LG 2019'!debtP</vt:lpstr>
      <vt:lpstr>'Current Garbage LG 2018'!Equity_percent</vt:lpstr>
      <vt:lpstr>'Current Recycling LG 2018'!Equity_percent</vt:lpstr>
      <vt:lpstr>'Garbage LG 2019 '!Equity_percent</vt:lpstr>
      <vt:lpstr>'Recycling LG 2019'!Equity_percent</vt:lpstr>
      <vt:lpstr>'Current Garbage LG 2018'!equityP</vt:lpstr>
      <vt:lpstr>'Current Recycling LG 2018'!equityP</vt:lpstr>
      <vt:lpstr>'Garbage LG 2019 '!equityP</vt:lpstr>
      <vt:lpstr>'Recycling LG 2019'!equityP</vt:lpstr>
      <vt:lpstr>'Current Garbage LG 2018'!expenses</vt:lpstr>
      <vt:lpstr>'Current Recycling LG 2018'!expenses</vt:lpstr>
      <vt:lpstr>'Garbage LG 2019 '!expenses</vt:lpstr>
      <vt:lpstr>'Recycling LG 2019'!expenses</vt:lpstr>
      <vt:lpstr>'Current Garbage LG 2018'!Investment</vt:lpstr>
      <vt:lpstr>'Current Recycling LG 2018'!Investment</vt:lpstr>
      <vt:lpstr>'Garbage LG 2019 '!Investment</vt:lpstr>
      <vt:lpstr>'Recycling LG 2019'!Investment</vt:lpstr>
      <vt:lpstr>'Current Garbage LG 2018'!Pfd_weighted</vt:lpstr>
      <vt:lpstr>'Current Recycling LG 2018'!Pfd_weighted</vt:lpstr>
      <vt:lpstr>'Garbage LG 2019 '!Pfd_weighted</vt:lpstr>
      <vt:lpstr>'Recycling LG 2019'!Pfd_weighted</vt:lpstr>
      <vt:lpstr>'Cando 2019'!Print_Area</vt:lpstr>
      <vt:lpstr>'Current Garbage LG 2018'!Print_Area</vt:lpstr>
      <vt:lpstr>'Current Recycling LG 2018'!Print_Area</vt:lpstr>
      <vt:lpstr>'Garbage LG 2019 '!Print_Area</vt:lpstr>
      <vt:lpstr>'Income Statement'!Print_Area</vt:lpstr>
      <vt:lpstr>'Recycling LG 2019'!Print_Area</vt:lpstr>
      <vt:lpstr>'Cando 2019'!Print_Titles</vt:lpstr>
      <vt:lpstr>'Income Statement'!Print_Titles</vt:lpstr>
      <vt:lpstr>'Current Garbage LG 2018'!regDebt_weighted</vt:lpstr>
      <vt:lpstr>'Current Recycling LG 2018'!regDebt_weighted</vt:lpstr>
      <vt:lpstr>'Garbage LG 2019 '!regDebt_weighted</vt:lpstr>
      <vt:lpstr>'Recycling LG 2019'!regDebt_weighted</vt:lpstr>
      <vt:lpstr>'Current Garbage LG 2018'!Revenue</vt:lpstr>
      <vt:lpstr>'Current Recycling LG 2018'!Revenue</vt:lpstr>
      <vt:lpstr>'Garbage LG 2019 '!Revenue</vt:lpstr>
      <vt:lpstr>'Recycling LG 2019'!Revenue</vt:lpstr>
      <vt:lpstr>'Current Garbage LG 2018'!slope</vt:lpstr>
      <vt:lpstr>'Current Recycling LG 2018'!slope</vt:lpstr>
      <vt:lpstr>'Garbage LG 2019 '!slope</vt:lpstr>
      <vt:lpstr>slope</vt:lpstr>
      <vt:lpstr>'Current Garbage LG 2018'!taxrate</vt:lpstr>
      <vt:lpstr>'Current Recycling LG 2018'!taxrate</vt:lpstr>
      <vt:lpstr>'Garbage LG 2019 '!taxrate</vt:lpstr>
      <vt:lpstr>'Recycling LG 2019'!taxrate</vt:lpstr>
      <vt:lpstr>'Current Garbage LG 2018'!y_inter1</vt:lpstr>
      <vt:lpstr>'Current Recycling LG 2018'!y_inter1</vt:lpstr>
      <vt:lpstr>'Garbage LG 2019 '!y_inter1</vt:lpstr>
      <vt:lpstr>y_inter1</vt:lpstr>
      <vt:lpstr>'Current Garbage LG 2018'!y_inter2</vt:lpstr>
      <vt:lpstr>'Current Recycling LG 2018'!y_inter2</vt:lpstr>
      <vt:lpstr>'Garbage LG 2019 '!y_inter2</vt:lpstr>
      <vt:lpstr>y_inter2</vt:lpstr>
      <vt:lpstr>'Current Garbage LG 2018'!y_inter3</vt:lpstr>
      <vt:lpstr>'Current Recycling LG 2018'!y_inter3</vt:lpstr>
      <vt:lpstr>'Garbage LG 2019 '!y_inter3</vt:lpstr>
      <vt:lpstr>y_inter3</vt:lpstr>
      <vt:lpstr>'Current Garbage LG 2018'!y_inter4</vt:lpstr>
      <vt:lpstr>'Current Recycling LG 2018'!y_inter4</vt:lpstr>
      <vt:lpstr>'Garbage LG 2019 '!y_inter4</vt:lpstr>
      <vt:lpstr>y_inter4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SolidWaste-NonPublic Lurito Gallagher</dc:title>
  <dc:creator>Information Services</dc:creator>
  <cp:lastModifiedBy>user</cp:lastModifiedBy>
  <cp:lastPrinted>2018-03-23T23:41:52Z</cp:lastPrinted>
  <dcterms:created xsi:type="dcterms:W3CDTF">2016-10-12T18:11:03Z</dcterms:created>
  <dcterms:modified xsi:type="dcterms:W3CDTF">2018-09-17T15:16:51Z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0x0101006E56B4D1795A2E4DB2F0B01679ED314A00FA99DA38EAF13C4C9ECCD5992B8BCAE8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