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ck\Desktop\"/>
    </mc:Choice>
  </mc:AlternateContent>
  <xr:revisionPtr revIDLastSave="0" documentId="8_{0DD12228-04F1-437B-A50A-C5763448F7CA}" xr6:coauthVersionLast="36" xr6:coauthVersionMax="36" xr10:uidLastSave="{00000000-0000-0000-0000-000000000000}"/>
  <bookViews>
    <workbookView xWindow="0" yWindow="0" windowWidth="28800" windowHeight="12810" tabRatio="950" activeTab="3" xr2:uid="{00000000-000D-0000-FFFF-FFFF00000000}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8" l="1"/>
  <c r="E11" i="3" l="1"/>
  <c r="E12" i="3"/>
  <c r="D17" i="13" l="1"/>
  <c r="D16" i="13" l="1"/>
  <c r="E16" i="3"/>
  <c r="D12" i="3" l="1"/>
  <c r="I35" i="12" l="1"/>
  <c r="G35" i="5" s="1"/>
  <c r="I35" i="2" l="1"/>
  <c r="F35" i="5" s="1"/>
  <c r="D22" i="13" l="1"/>
  <c r="C22" i="13"/>
  <c r="D22" i="1"/>
  <c r="C22" i="1"/>
  <c r="A3" i="17" l="1"/>
  <c r="C3" i="19" s="1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17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<sst xmlns="http://schemas.openxmlformats.org/spreadsheetml/2006/main" count="685" uniqueCount="310">
  <si>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</si>
  <si>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</si>
  <si>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</si>
  <si>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</si>
  <si>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</si>
  <si>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</si>
  <si>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</si>
  <si>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</si>
  <si>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</si>
  <si>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</si>
  <si>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</si>
  <si>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</si>
  <si>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</si>
  <si>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</si>
  <si>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</si>
  <si>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</si>
  <si>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</si>
  <si>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</si>
  <si>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</si>
  <si>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</si>
  <si>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</si>
  <si>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</si>
  <si>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</si>
  <si>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</si>
  <si>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</si>
  <si>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</si>
  <si>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</si>
  <si>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</si>
  <si>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</si>
  <si>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</si>
  <si>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</si>
  <si>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</si>
  <si>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</si>
  <si>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</si>
  <si>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</si>
  <si>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</si>
  <si>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</si>
  <si>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</si>
  <si>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</si>
  <si>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</si>
  <si>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</si>
  <si>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</si>
  <si>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</si>
  <si>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</si>
  <si>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</si>
  <si>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</si>
  <si>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</si>
  <si>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</si>
  <si>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</si>
  <si>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</si>
  <si>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</si>
  <si>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</si>
  <si>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</si>
  <si>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</si>
  <si>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</si>
  <si>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</si>
  <si>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</si>
  <si>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</si>
  <si>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</si>
  <si>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</si>
  <si>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</si>
  <si>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</si>
  <si>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</si>
  <si>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</si>
  <si>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</si>
  <si>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</si>
  <si>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</si>
  <si>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</si>
  <si>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</si>
  <si>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</si>
  <si>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</si>
  <si>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</si>
  <si>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</si>
  <si>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</si>
  <si>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</si>
  <si>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</si>
  <si>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</si>
  <si>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</si>
  <si>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</si>
  <si>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</si>
  <si>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</si>
  <si>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</si>
  <si>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</si>
  <si>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</si>
  <si>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</si>
  <si>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</si>
  <si>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</si>
  <si>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</si>
  <si>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</si>
  <si>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</si>
  <si>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</si>
  <si>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</si>
  <si>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</si>
  <si>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</si>
  <si>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</si>
  <si>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</si>
  <si>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</si>
  <si>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</si>
  <si>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</si>
  <si>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</si>
  <si>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</si>
  <si>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</si>
  <si>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</si>
  <si>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</si>
  <si>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</si>
  <si>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</si>
  <si>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</si>
  <si>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</si>
  <si>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</si>
  <si>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</si>
  <si>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</si>
  <si>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</si>
  <si>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</si>
  <si>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</si>
  <si>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</si>
  <si>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</si>
  <si>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</si>
  <si>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</si>
  <si>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</si>
  <si>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</si>
  <si>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</si>
  <si>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</si>
  <si>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</si>
  <si>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</si>
  <si>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</si>
  <si>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</si>
  <si>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</si>
  <si>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</si>
  <si>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</si>
  <si>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</si>
  <si>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</si>
  <si>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</si>
  <si>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</si>
  <si>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</si>
  <si>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</si>
  <si>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</si>
  <si>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</si>
  <si>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</si>
  <si>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</si>
  <si>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</si>
  <si>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</si>
  <si>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</si>
  <si>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</si>
  <si>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</si>
  <si>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</si>
  <si>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</si>
  <si>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</si>
  <si>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</si>
  <si>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</si>
  <si>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</si>
  <si>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</si>
  <si>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</si>
  <si>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</si>
  <si>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</si>
  <si>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</si>
  <si>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</si>
  <si>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</si>
  <si>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</si>
  <si>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</si>
  <si>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</si>
  <si>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</si>
  <si>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</si>
  <si>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</si>
  <si>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</si>
  <si>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</si>
  <si>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</si>
  <si>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</si>
  <si>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</si>
  <si>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</si>
  <si>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</si>
  <si>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</si>
  <si>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</si>
  <si>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</si>
  <si>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</si>
  <si>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</si>
  <si>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</si>
  <si>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</si>
  <si>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</si>
  <si>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</si>
  <si>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</si>
  <si>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</si>
  <si>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</si>
  <si>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</si>
  <si>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</si>
  <si>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</si>
  <si>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</si>
  <si>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</si>
  <si>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</si>
  <si>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</si>
  <si>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</si>
  <si>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</si>
  <si>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</si>
  <si>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</si>
  <si>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</si>
  <si>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</si>
  <si>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</si>
  <si>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</si>
  <si>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</si>
  <si>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</si>
  <si>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</si>
  <si>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</si>
  <si>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</si>
  <si>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</si>
  <si>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</si>
  <si>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</si>
  <si>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</si>
  <si>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</si>
  <si>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</si>
  <si>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</si>
  <si>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</si>
  <si>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</si>
  <si>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</si>
  <si>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</si>
  <si>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</si>
  <si>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</si>
  <si>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</si>
  <si>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</si>
  <si>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</si>
  <si>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</si>
  <si>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</si>
  <si>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</si>
  <si>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</si>
  <si>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</si>
  <si>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</si>
  <si>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</si>
  <si>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</si>
  <si>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</si>
  <si>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</si>
  <si>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</si>
  <si>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</si>
  <si>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</si>
  <si>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</si>
  <si>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</si>
  <si>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</si>
  <si>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</si>
  <si>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</si>
  <si>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</si>
  <si>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</si>
  <si>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</si>
  <si>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</si>
  <si>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</si>
  <si>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</si>
  <si>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</si>
  <si>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</si>
  <si>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</si>
  <si>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</si>
  <si>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</si>
  <si>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</si>
  <si>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</si>
  <si>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</si>
  <si>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</si>
  <si>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</si>
  <si>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</si>
  <si>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</si>
  <si>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</si>
  <si>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</si>
  <si>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</si>
  <si>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</si>
  <si>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</si>
  <si>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</si>
  <si>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</si>
  <si>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</si>
  <si>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</si>
  <si>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</si>
  <si>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Balance - 2016</t>
  </si>
  <si>
    <t>2016</t>
  </si>
  <si>
    <t>Regulated rate base Year End 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</si>
  <si>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</si>
  <si>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</si>
  <si>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</si>
  <si>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</si>
  <si>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</si>
  <si>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</si>
  <si>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</si>
  <si>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</si>
  <si>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</si>
  <si>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</si>
  <si>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</si>
  <si>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</si>
  <si>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</si>
  <si>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</si>
  <si>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</si>
  <si>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</si>
  <si>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</si>
  <si>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If 2016 does not equal last year's petition and template,</t>
  </si>
  <si>
    <t>2017</t>
  </si>
  <si>
    <r>
      <t xml:space="preserve">Description of Out-of-Period - 2017 (As Recorded) </t>
    </r>
    <r>
      <rPr>
        <b/>
        <sz val="11"/>
        <color theme="1"/>
        <rFont val="Calibri"/>
        <family val="2"/>
        <scheme val="minor"/>
      </rPr>
      <t>OR</t>
    </r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</si>
  <si>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</si>
  <si>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</si>
  <si>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</si>
  <si>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</si>
  <si>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</si>
  <si>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</si>
  <si>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</si>
  <si>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</si>
  <si>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</si>
  <si>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</si>
  <si>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</si>
  <si>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</si>
  <si>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</si>
  <si>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</si>
  <si>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</si>
  <si>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</si>
  <si>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</si>
  <si>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</si>
  <si>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</si>
  <si>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</si>
  <si>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</si>
  <si>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</si>
  <si>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Westgate Communications., dba WeavTel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</si>
</sst>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A13:E17"/>
  <sheetViews>
    <sheetView zoomScaleNormal="100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 tint="-0.14999847407452621"/>
  </sheetPr>
  <dimension ref="A2:E36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Westgate Communications., dba WeavTel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2016</v>
      </c>
      <c r="E7" s="5">
        <v>2017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7639</v>
      </c>
      <c r="E9" s="56">
        <v>5654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23612</v>
      </c>
      <c r="E11" s="53">
        <f>14754+9255</f>
        <v>24009</v>
      </c>
    </row>
    <row r="12" spans="1:5" x14ac:dyDescent="0.25">
      <c r="A12" s="11" t="s">
        <v>171</v>
      </c>
      <c r="B12" s="18" t="s">
        <v>225</v>
      </c>
      <c r="C12" s="11"/>
      <c r="D12" s="53">
        <f>46220</f>
        <v>46220</v>
      </c>
      <c r="E12" s="53">
        <f>322271+10447+3176+5844</f>
        <v>341738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/>
      <c r="E14" s="53"/>
    </row>
    <row r="15" spans="1:5" x14ac:dyDescent="0.25">
      <c r="A15" s="11" t="s">
        <v>173</v>
      </c>
      <c r="B15" s="18" t="s">
        <v>142</v>
      </c>
      <c r="C15" s="11"/>
      <c r="D15" s="53"/>
      <c r="E15" s="53">
        <v>15628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409740</v>
      </c>
      <c r="E16" s="53">
        <f>66577+82731</f>
        <v>149308</v>
      </c>
    </row>
    <row r="17" spans="1:5" x14ac:dyDescent="0.25">
      <c r="A17" s="11">
        <v>5</v>
      </c>
      <c r="B17" s="18" t="s">
        <v>308</v>
      </c>
      <c r="C17" s="11" t="s">
        <v>144</v>
      </c>
      <c r="D17" s="53"/>
      <c r="E17" s="53"/>
    </row>
    <row r="18" spans="1:5" x14ac:dyDescent="0.25">
      <c r="A18" s="11">
        <v>6</v>
      </c>
      <c r="B18" s="18" t="s">
        <v>186</v>
      </c>
      <c r="C18" s="11" t="s">
        <v>144</v>
      </c>
      <c r="D18" s="53">
        <v>64690</v>
      </c>
      <c r="E18" s="53">
        <v>77168</v>
      </c>
    </row>
    <row r="19" spans="1:5" x14ac:dyDescent="0.2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25">
      <c r="A20" s="11">
        <v>8</v>
      </c>
      <c r="B20" s="18" t="s">
        <v>145</v>
      </c>
      <c r="C20" s="7"/>
      <c r="D20" s="36">
        <f>D9+D11+D12+D14+D15+D16+D18+D19</f>
        <v>551901</v>
      </c>
      <c r="E20" s="36">
        <f>E9+E11+E12+E14+E15+E16+E18+E19</f>
        <v>613505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551901</v>
      </c>
      <c r="E21" s="38">
        <f>IncomeStmtSummary!D10</f>
        <v>613505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algorithmName="SHA-512" hashValue="yu5ykXT1kbmVqSGuuRCd8soXl5rWUsXI3n48URrCLsn3pNMWxT/IcpdRIsVtE74gsoJuyr/76z8Oa+FlOvwqlQ==" saltValue="CFDw855mKw13fZpgKLwY5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0" tint="-0.14999847407452621"/>
  </sheetPr>
  <dimension ref="A2:E53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240</v>
      </c>
      <c r="B2" s="48"/>
    </row>
    <row r="3" spans="1:5" x14ac:dyDescent="0.25">
      <c r="A3" s="2" t="str">
        <f>PriorYearBalanceSheet!A3</f>
        <v>Westgate Communications., dba WeavTel</v>
      </c>
      <c r="B3" s="13"/>
    </row>
    <row r="6" spans="1:5" x14ac:dyDescent="0.25">
      <c r="A6" s="10" t="s">
        <v>286</v>
      </c>
      <c r="B6" s="10" t="s">
        <v>246</v>
      </c>
      <c r="C6" s="10"/>
      <c r="D6" s="131" t="s">
        <v>182</v>
      </c>
      <c r="E6" s="132"/>
    </row>
    <row r="7" spans="1:5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183</v>
      </c>
      <c r="B9" s="18"/>
      <c r="C9" s="18"/>
      <c r="D9" s="124"/>
      <c r="E9" s="122"/>
    </row>
    <row r="10" spans="1:5" x14ac:dyDescent="0.25">
      <c r="A10" s="18"/>
      <c r="B10" s="18"/>
      <c r="C10" s="18"/>
      <c r="D10" s="124"/>
      <c r="E10" s="122"/>
    </row>
    <row r="11" spans="1:5" x14ac:dyDescent="0.25">
      <c r="A11" s="18"/>
      <c r="B11" s="18"/>
      <c r="C11" s="18"/>
      <c r="D11" s="124"/>
      <c r="E11" s="122"/>
    </row>
    <row r="12" spans="1:5" x14ac:dyDescent="0.25">
      <c r="A12" s="18"/>
      <c r="B12" s="18"/>
      <c r="C12" s="18"/>
      <c r="D12" s="124"/>
      <c r="E12" s="122"/>
    </row>
    <row r="13" spans="1:5" x14ac:dyDescent="0.25">
      <c r="A13" s="20"/>
      <c r="B13" s="20"/>
      <c r="C13" s="20"/>
      <c r="D13" s="125"/>
      <c r="E13" s="123"/>
    </row>
    <row r="14" spans="1:5" x14ac:dyDescent="0.25">
      <c r="A14" s="18" t="s">
        <v>184</v>
      </c>
      <c r="B14" s="18"/>
      <c r="C14" s="18"/>
      <c r="D14" s="124"/>
      <c r="E14" s="122"/>
    </row>
    <row r="15" spans="1:5" x14ac:dyDescent="0.25">
      <c r="A15" s="18"/>
      <c r="B15" s="18"/>
      <c r="C15" s="18"/>
      <c r="D15" s="124"/>
      <c r="E15" s="122"/>
    </row>
    <row r="16" spans="1:5" x14ac:dyDescent="0.25">
      <c r="A16" s="18"/>
      <c r="B16" s="18"/>
      <c r="C16" s="18"/>
      <c r="D16" s="124"/>
      <c r="E16" s="122"/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5" x14ac:dyDescent="0.25">
      <c r="A33" s="20"/>
      <c r="B33" s="20"/>
      <c r="C33" s="20"/>
      <c r="D33" s="125"/>
      <c r="E33" s="123"/>
    </row>
    <row r="34" spans="1:5" x14ac:dyDescent="0.25">
      <c r="D34" s="118"/>
      <c r="E34" s="118"/>
    </row>
    <row r="35" spans="1:5" x14ac:dyDescent="0.25">
      <c r="D35" s="118"/>
      <c r="E35" s="118"/>
    </row>
    <row r="36" spans="1:5" x14ac:dyDescent="0.25">
      <c r="D36" s="118"/>
      <c r="E36" s="118"/>
    </row>
    <row r="37" spans="1:5" x14ac:dyDescent="0.25">
      <c r="D37" s="118"/>
      <c r="E37" s="118"/>
    </row>
    <row r="38" spans="1:5" x14ac:dyDescent="0.25">
      <c r="D38" s="118"/>
      <c r="E38" s="118"/>
    </row>
    <row r="39" spans="1:5" x14ac:dyDescent="0.25">
      <c r="D39" s="118"/>
      <c r="E39" s="118"/>
    </row>
    <row r="40" spans="1:5" x14ac:dyDescent="0.25">
      <c r="D40" s="118"/>
      <c r="E40" s="118"/>
    </row>
    <row r="41" spans="1:5" x14ac:dyDescent="0.25">
      <c r="D41" s="118"/>
      <c r="E41" s="118"/>
    </row>
    <row r="42" spans="1:5" x14ac:dyDescent="0.25">
      <c r="D42" s="118"/>
      <c r="E42" s="118"/>
    </row>
    <row r="43" spans="1:5" x14ac:dyDescent="0.25">
      <c r="D43" s="118"/>
      <c r="E43" s="118"/>
    </row>
    <row r="44" spans="1:5" x14ac:dyDescent="0.25">
      <c r="D44" s="118"/>
      <c r="E44" s="118"/>
    </row>
    <row r="45" spans="1:5" x14ac:dyDescent="0.25">
      <c r="D45" s="118"/>
      <c r="E45" s="118"/>
    </row>
    <row r="46" spans="1:5" x14ac:dyDescent="0.25">
      <c r="D46" s="118"/>
      <c r="E46" s="118"/>
    </row>
    <row r="47" spans="1:5" x14ac:dyDescent="0.25">
      <c r="D47" s="118"/>
      <c r="E47" s="118"/>
    </row>
    <row r="48" spans="1:5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0" tint="-0.14999847407452621"/>
  </sheetPr>
  <dimension ref="A2:H48"/>
  <sheetViews>
    <sheetView zoomScaleNormal="100" workbookViewId="0">
      <selection activeCell="C3" sqref="C3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OutofPeriodAdj!A3</f>
        <v>Westgate Communications., dba WeavTel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2017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56633</v>
      </c>
      <c r="E8" s="7"/>
    </row>
    <row r="9" spans="1:6" x14ac:dyDescent="0.25">
      <c r="A9" s="11">
        <v>2</v>
      </c>
      <c r="B9" s="18"/>
      <c r="C9" s="18" t="s">
        <v>304</v>
      </c>
      <c r="D9" s="113"/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55286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1347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0.1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134.70000000000002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287</v>
      </c>
      <c r="D14" s="93">
        <f>D8+D9-D13</f>
        <v>56498.3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-13000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-41414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-54414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0.1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-5441.4000000000005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-48972.6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7525.7000000000044</v>
      </c>
      <c r="E24" s="77" t="s">
        <v>290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10532</v>
      </c>
      <c r="E27" s="7"/>
    </row>
    <row r="28" spans="1:6" x14ac:dyDescent="0.25">
      <c r="A28" s="11">
        <v>16</v>
      </c>
      <c r="B28" s="18"/>
      <c r="C28" s="18" t="s">
        <v>289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10532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0.9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302</v>
      </c>
      <c r="D31" s="104">
        <f>D29*D30</f>
        <v>9478.8000000000011</v>
      </c>
      <c r="E31" s="12" t="s">
        <v>291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266</v>
      </c>
      <c r="D34" s="89">
        <f>'RateBase '!D15</f>
        <v>603705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288</v>
      </c>
      <c r="D35" s="90">
        <f>'RateBase '!E15</f>
        <v>542589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1146294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573147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56498.3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9.8575583576290204E-2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279</v>
      </c>
      <c r="B42" s="67" t="s">
        <v>303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305</v>
      </c>
      <c r="C43" s="73"/>
      <c r="D43" s="67"/>
      <c r="E43" s="67"/>
      <c r="F43" s="67"/>
      <c r="G43" s="68"/>
      <c r="H43" s="67"/>
    </row>
    <row r="44" spans="1:8" x14ac:dyDescent="0.25">
      <c r="A44" s="130" t="s">
        <v>292</v>
      </c>
      <c r="B44" s="67" t="s">
        <v>293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306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307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TIXzzmOwjVl24P8rRTU4zFdeHkCDErB7napV8/lVhYgZPsCiN0eniW18RLI0RrftguXZVTnmU+lu/FcSxSDfbw==" saltValue="S7IpfxnD6qDxaru+P3d5c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  <pageSetUpPr fitToPage="1"/>
  </sheetPr>
  <dimension ref="A2:I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257</v>
      </c>
      <c r="C8" s="12" t="s">
        <v>258</v>
      </c>
      <c r="D8" s="12" t="s">
        <v>267</v>
      </c>
      <c r="E8" s="12"/>
      <c r="F8" s="9"/>
      <c r="G8" s="12" t="s">
        <v>257</v>
      </c>
      <c r="H8" s="12" t="s">
        <v>258</v>
      </c>
      <c r="I8" s="6" t="s">
        <v>267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50869</v>
      </c>
      <c r="C10" s="120"/>
      <c r="D10" s="60">
        <f>SUM(B10:C10)</f>
        <v>50869</v>
      </c>
      <c r="E10" s="18"/>
      <c r="F10" s="18" t="s">
        <v>77</v>
      </c>
      <c r="G10" s="53">
        <v>441677</v>
      </c>
      <c r="H10" s="55"/>
      <c r="I10" s="60">
        <f>SUM(G10:H10)</f>
        <v>441677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>
        <v>63599</v>
      </c>
      <c r="H11" s="55"/>
      <c r="I11" s="60">
        <f t="shared" ref="I11:I19" si="0">SUM(G11:H11)</f>
        <v>63599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>
        <v>35545</v>
      </c>
      <c r="H12" s="55"/>
      <c r="I12" s="60">
        <f t="shared" si="0"/>
        <v>35545</v>
      </c>
    </row>
    <row r="13" spans="1:9" x14ac:dyDescent="0.25">
      <c r="A13" s="18" t="s">
        <v>43</v>
      </c>
      <c r="B13" s="53">
        <v>8</v>
      </c>
      <c r="C13" s="55"/>
      <c r="D13" s="60">
        <f>SUM(B13:C13)</f>
        <v>8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>
        <v>36493</v>
      </c>
      <c r="C14" s="55"/>
      <c r="D14" s="60">
        <f t="shared" ref="D14:D15" si="1">SUM(B14:C14)</f>
        <v>36493</v>
      </c>
      <c r="E14" s="18"/>
      <c r="F14" s="18" t="s">
        <v>82</v>
      </c>
      <c r="G14" s="53">
        <v>1389583</v>
      </c>
      <c r="H14" s="55"/>
      <c r="I14" s="60">
        <f t="shared" si="0"/>
        <v>1389583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6351</v>
      </c>
      <c r="H18" s="55"/>
      <c r="I18" s="60">
        <f t="shared" si="0"/>
        <v>6351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634798</v>
      </c>
      <c r="H19" s="121"/>
      <c r="I19" s="61">
        <f t="shared" si="0"/>
        <v>634798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2571553</v>
      </c>
      <c r="H20" s="60">
        <f>SUM(H10:H19)</f>
        <v>0</v>
      </c>
      <c r="I20" s="60">
        <f t="shared" ref="I20" si="3">SUM(I10:I19)</f>
        <v>2571553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25">
      <c r="A23" s="18" t="s">
        <v>50</v>
      </c>
      <c r="B23" s="53">
        <v>2367</v>
      </c>
      <c r="C23" s="55"/>
      <c r="D23" s="60">
        <f t="shared" si="2"/>
        <v>2367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89737</v>
      </c>
      <c r="C25" s="60">
        <f>C10+C11+C13+C14+C15+C17+C18+C19+C20+C21+C22+C23+C24</f>
        <v>0</v>
      </c>
      <c r="D25" s="60">
        <f t="shared" ref="D25" si="5">D10+D11+D13+D14+D15+D17+D18+D19+D20+D21+D22+D23+D24</f>
        <v>89737</v>
      </c>
      <c r="E25" s="18"/>
      <c r="F25" s="18" t="s">
        <v>93</v>
      </c>
      <c r="G25" s="53">
        <v>155726</v>
      </c>
      <c r="H25" s="55"/>
      <c r="I25" s="60">
        <f t="shared" si="4"/>
        <v>155726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217611</v>
      </c>
      <c r="H32" s="127">
        <f>SUM(H22:H31)</f>
        <v>0</v>
      </c>
      <c r="I32" s="127">
        <f>SUM(I22:I31)</f>
        <v>217611</v>
      </c>
    </row>
    <row r="33" spans="1:9" x14ac:dyDescent="0.25">
      <c r="A33" s="18" t="s">
        <v>56</v>
      </c>
      <c r="B33" s="53">
        <v>2500</v>
      </c>
      <c r="C33" s="55"/>
      <c r="D33" s="60">
        <f>SUM(B33:C33)</f>
        <v>2500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>
        <v>13737</v>
      </c>
      <c r="C35" s="71">
        <f>-1*(C25+C30+C31+C33+C34+C36+C37+C38+C47)</f>
        <v>46222</v>
      </c>
      <c r="D35" s="60">
        <f t="shared" si="7"/>
        <v>59959</v>
      </c>
      <c r="E35" s="18"/>
      <c r="F35" s="19" t="s">
        <v>247</v>
      </c>
      <c r="G35" s="53"/>
      <c r="H35" s="53"/>
      <c r="I35" s="60">
        <f>SUM(G35:H35)</f>
        <v>0</v>
      </c>
    </row>
    <row r="36" spans="1:9" x14ac:dyDescent="0.25">
      <c r="A36" s="18" t="s">
        <v>61</v>
      </c>
      <c r="B36" s="53"/>
      <c r="C36" s="55"/>
      <c r="D36" s="60">
        <f t="shared" si="7"/>
        <v>0</v>
      </c>
      <c r="E36" s="18"/>
      <c r="F36" s="18" t="s">
        <v>271</v>
      </c>
      <c r="G36" s="53"/>
      <c r="H36" s="120"/>
      <c r="I36" s="60">
        <f t="shared" ref="I36:I37" si="8">SUM(G36:H36)</f>
        <v>0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294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25">
      <c r="A39" s="18" t="s">
        <v>64</v>
      </c>
      <c r="B39" s="60">
        <f>B30+B31+B33+B34+B35+B36+B37+B38</f>
        <v>16237</v>
      </c>
      <c r="C39" s="60">
        <f>C30+C31+C33+C34+C35+C36+C37+C38</f>
        <v>46222</v>
      </c>
      <c r="D39" s="60">
        <f t="shared" ref="D39" si="9">D30+D31+D33+D34+D35+D36+D37+D38</f>
        <v>62459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/>
      <c r="H40" s="23"/>
      <c r="I40" s="60">
        <f>SUM(G40:H40)</f>
        <v>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2322450</v>
      </c>
      <c r="C42" s="53">
        <v>-61336</v>
      </c>
      <c r="D42" s="60">
        <f>SUM(B42:C42)</f>
        <v>2261114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66862</v>
      </c>
      <c r="C44" s="53"/>
      <c r="D44" s="60">
        <f t="shared" si="11"/>
        <v>66862</v>
      </c>
      <c r="E44" s="18"/>
      <c r="F44" s="18" t="s">
        <v>252</v>
      </c>
      <c r="G44" s="53"/>
      <c r="H44" s="23"/>
      <c r="I44" s="60">
        <f t="shared" si="10"/>
        <v>0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-1659324</v>
      </c>
      <c r="C46" s="54">
        <v>15114</v>
      </c>
      <c r="D46" s="61">
        <f t="shared" si="11"/>
        <v>-1644210</v>
      </c>
      <c r="E46" s="18"/>
      <c r="F46" s="18" t="s">
        <v>254</v>
      </c>
      <c r="G46" s="54">
        <v>-1953202</v>
      </c>
      <c r="H46" s="80">
        <f>-1*(H20+H32+H38)</f>
        <v>0</v>
      </c>
      <c r="I46" s="61">
        <f t="shared" si="10"/>
        <v>-1953202</v>
      </c>
    </row>
    <row r="47" spans="1:9" x14ac:dyDescent="0.25">
      <c r="A47" s="18" t="s">
        <v>70</v>
      </c>
      <c r="B47" s="60">
        <f>B42+B43+B44+B45+B46</f>
        <v>729988</v>
      </c>
      <c r="C47" s="60">
        <f t="shared" ref="C47:D47" si="12">C42+C43+C44+C45+C46</f>
        <v>-46222</v>
      </c>
      <c r="D47" s="60">
        <f t="shared" si="12"/>
        <v>683766</v>
      </c>
      <c r="E47" s="18"/>
      <c r="F47" s="18" t="s">
        <v>259</v>
      </c>
      <c r="G47" s="60">
        <f>SUM(G40:G46)</f>
        <v>-1953202</v>
      </c>
      <c r="H47" s="63">
        <f t="shared" ref="H47:I47" si="13">SUM(H40:H46)</f>
        <v>0</v>
      </c>
      <c r="I47" s="60">
        <f t="shared" si="13"/>
        <v>-1953202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835962</v>
      </c>
      <c r="C49" s="62">
        <f t="shared" ref="C49:D49" si="14">C25+C39+C47</f>
        <v>0</v>
      </c>
      <c r="D49" s="62">
        <f t="shared" si="14"/>
        <v>835962</v>
      </c>
      <c r="E49" s="20"/>
      <c r="F49" s="75" t="s">
        <v>256</v>
      </c>
      <c r="G49" s="62">
        <f>G20+G32+G38+G47</f>
        <v>835962</v>
      </c>
      <c r="H49" s="62">
        <f>H20+H32+H38+H47</f>
        <v>0</v>
      </c>
      <c r="I49" s="62">
        <f>I20+I32+I38+I47</f>
        <v>835962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OV8dkRgjULhpncm/bE988XwNICbFYbr+UejIEwN8VpD4aA0I1WnOfKwGwuCq/QlpD6FbSu7EgVz4DxCtt1Gmcw==" saltValue="8N/lWofPANd6T4IX08H13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Westgate Communications., dba WeavTel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274</v>
      </c>
      <c r="C8" s="12" t="s">
        <v>275</v>
      </c>
      <c r="D8" s="12" t="s">
        <v>276</v>
      </c>
      <c r="E8" s="12"/>
      <c r="F8" s="9"/>
      <c r="G8" s="12" t="s">
        <v>274</v>
      </c>
      <c r="H8" s="12" t="s">
        <v>275</v>
      </c>
      <c r="I8" s="6" t="s">
        <v>276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60637</v>
      </c>
      <c r="C10" s="55"/>
      <c r="D10" s="60">
        <f>SUM(B10:C10)</f>
        <v>60637</v>
      </c>
      <c r="E10" s="18"/>
      <c r="F10" s="18" t="s">
        <v>77</v>
      </c>
      <c r="G10" s="53">
        <v>458408</v>
      </c>
      <c r="H10" s="55"/>
      <c r="I10" s="60">
        <f>SUM(G10:H10)</f>
        <v>458408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>
        <v>41624</v>
      </c>
      <c r="H12" s="55"/>
      <c r="I12" s="60">
        <f t="shared" si="0"/>
        <v>41624</v>
      </c>
    </row>
    <row r="13" spans="1:9" x14ac:dyDescent="0.25">
      <c r="A13" s="18" t="s">
        <v>43</v>
      </c>
      <c r="B13" s="53">
        <v>467</v>
      </c>
      <c r="C13" s="55"/>
      <c r="D13" s="60">
        <f>SUM(B13:C13)</f>
        <v>467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25">
      <c r="A14" s="18" t="s">
        <v>46</v>
      </c>
      <c r="B14" s="53">
        <v>35320</v>
      </c>
      <c r="C14" s="55"/>
      <c r="D14" s="60">
        <f t="shared" ref="D14:D15" si="1">SUM(B14:C14)</f>
        <v>35320</v>
      </c>
      <c r="E14" s="18"/>
      <c r="F14" s="18" t="s">
        <v>82</v>
      </c>
      <c r="G14" s="53">
        <v>1372264</v>
      </c>
      <c r="H14" s="55"/>
      <c r="I14" s="60">
        <f t="shared" si="0"/>
        <v>1372264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5215</v>
      </c>
      <c r="H18" s="55"/>
      <c r="I18" s="60">
        <f t="shared" si="0"/>
        <v>5215</v>
      </c>
    </row>
    <row r="19" spans="1:9" x14ac:dyDescent="0.2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653317</v>
      </c>
      <c r="H19" s="121"/>
      <c r="I19" s="61">
        <f t="shared" si="0"/>
        <v>653317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2530828</v>
      </c>
      <c r="H20" s="60">
        <f>SUM(H10:H19)</f>
        <v>0</v>
      </c>
      <c r="I20" s="60">
        <f t="shared" ref="I20" si="3">SUM(I10:I19)</f>
        <v>2530828</v>
      </c>
    </row>
    <row r="21" spans="1:9" x14ac:dyDescent="0.2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25">
      <c r="A23" s="18" t="s">
        <v>50</v>
      </c>
      <c r="B23" s="53">
        <v>4991</v>
      </c>
      <c r="C23" s="55"/>
      <c r="D23" s="60">
        <f t="shared" si="2"/>
        <v>4991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101415</v>
      </c>
      <c r="C25" s="60">
        <f>C10+C11+C13+C14+C15+C17+C18+C19+C20+C21+C22+C23+C24</f>
        <v>0</v>
      </c>
      <c r="D25" s="60">
        <f t="shared" ref="D25" si="5">D10+D11+D13+D14+D15+D17+D18+D19+D20+D21+D22+D23+D24</f>
        <v>101415</v>
      </c>
      <c r="E25" s="18"/>
      <c r="F25" s="18" t="s">
        <v>93</v>
      </c>
      <c r="G25" s="53">
        <v>155102</v>
      </c>
      <c r="H25" s="55"/>
      <c r="I25" s="60">
        <f t="shared" si="4"/>
        <v>155102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216987</v>
      </c>
      <c r="H32" s="127">
        <f>SUM(H22:H31)</f>
        <v>0</v>
      </c>
      <c r="I32" s="127">
        <f>SUM(I22:I31)</f>
        <v>216987</v>
      </c>
    </row>
    <row r="33" spans="1:11" x14ac:dyDescent="0.2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>
        <v>19071</v>
      </c>
      <c r="C35" s="71">
        <f>-1*(C25+C30+C31+C33+C34+C36+C37+C38+C47)</f>
        <v>60615</v>
      </c>
      <c r="D35" s="60">
        <f t="shared" si="7"/>
        <v>79686</v>
      </c>
      <c r="E35" s="18"/>
      <c r="F35" s="129" t="s">
        <v>247</v>
      </c>
      <c r="G35" s="53"/>
      <c r="H35" s="53"/>
      <c r="I35" s="60">
        <f>SUM(G35:H35)</f>
        <v>0</v>
      </c>
    </row>
    <row r="36" spans="1:11" x14ac:dyDescent="0.25">
      <c r="A36" s="18" t="s">
        <v>61</v>
      </c>
      <c r="B36" s="53">
        <v>1750</v>
      </c>
      <c r="C36" s="55"/>
      <c r="D36" s="60">
        <f t="shared" si="7"/>
        <v>1750</v>
      </c>
      <c r="E36" s="18"/>
      <c r="F36" s="14" t="s">
        <v>271</v>
      </c>
      <c r="G36" s="53"/>
      <c r="H36" s="120"/>
      <c r="I36" s="60">
        <f t="shared" ref="I36:I37" si="8">SUM(G36:H36)</f>
        <v>0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294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25">
      <c r="A39" s="18" t="s">
        <v>64</v>
      </c>
      <c r="B39" s="60">
        <f>B30+B31+B33+B34+B35+B36+B37+B38</f>
        <v>20821</v>
      </c>
      <c r="C39" s="60">
        <f>C30+C31+C33+C34+C35+C36+C37+C38</f>
        <v>60615</v>
      </c>
      <c r="D39" s="60">
        <f t="shared" ref="D39" si="9">D30+D31+D33+D34+D35+D36+D37+D38</f>
        <v>81436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/>
      <c r="H40" s="23"/>
      <c r="I40" s="60">
        <f>SUM(G40:H40)</f>
        <v>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2402560</v>
      </c>
      <c r="C42" s="53">
        <v>-90845</v>
      </c>
      <c r="D42" s="60">
        <f>SUM(B42:C42)</f>
        <v>2311715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87557</v>
      </c>
      <c r="C44" s="53"/>
      <c r="D44" s="60">
        <f t="shared" si="11"/>
        <v>87557</v>
      </c>
      <c r="E44" s="18"/>
      <c r="F44" s="18" t="s">
        <v>252</v>
      </c>
      <c r="G44" s="53"/>
      <c r="H44" s="23"/>
      <c r="I44" s="60">
        <f t="shared" si="10"/>
        <v>0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-1794208</v>
      </c>
      <c r="C46" s="54">
        <v>30230</v>
      </c>
      <c r="D46" s="61">
        <f t="shared" si="11"/>
        <v>-1763978</v>
      </c>
      <c r="E46" s="18"/>
      <c r="F46" s="18" t="s">
        <v>254</v>
      </c>
      <c r="G46" s="54">
        <v>-1929670</v>
      </c>
      <c r="H46" s="80">
        <f>-1*(H20+H32+H38)</f>
        <v>0</v>
      </c>
      <c r="I46" s="61">
        <f t="shared" si="10"/>
        <v>-1929670</v>
      </c>
    </row>
    <row r="47" spans="1:11" x14ac:dyDescent="0.25">
      <c r="A47" s="18" t="s">
        <v>70</v>
      </c>
      <c r="B47" s="60">
        <f>B42+B43+B44+B45+B46</f>
        <v>695909</v>
      </c>
      <c r="C47" s="60">
        <f t="shared" ref="C47:D47" si="12">C42+C43+C44+C45+C46</f>
        <v>-60615</v>
      </c>
      <c r="D47" s="60">
        <f t="shared" si="12"/>
        <v>635294</v>
      </c>
      <c r="E47" s="18"/>
      <c r="F47" s="18" t="s">
        <v>259</v>
      </c>
      <c r="G47" s="60">
        <f>SUM(G40:G46)</f>
        <v>-1929670</v>
      </c>
      <c r="H47" s="63">
        <f t="shared" ref="H47:I47" si="13">SUM(H40:H46)</f>
        <v>0</v>
      </c>
      <c r="I47" s="60">
        <f t="shared" si="13"/>
        <v>-1929670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818145</v>
      </c>
      <c r="C49" s="62">
        <f t="shared" ref="C49:D49" si="14">C25+C39+C47</f>
        <v>0</v>
      </c>
      <c r="D49" s="62">
        <f t="shared" si="14"/>
        <v>818145</v>
      </c>
      <c r="E49" s="20"/>
      <c r="F49" s="75" t="s">
        <v>256</v>
      </c>
      <c r="G49" s="62">
        <f>G20+G32+G38+G47</f>
        <v>818145</v>
      </c>
      <c r="H49" s="62">
        <f>H20+H32+H38+H47</f>
        <v>0</v>
      </c>
      <c r="I49" s="62">
        <f>I20+I32+I38+I47</f>
        <v>818145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272</v>
      </c>
      <c r="G53" s="67"/>
      <c r="H53" s="67"/>
      <c r="I53" s="67"/>
    </row>
    <row r="54" spans="1:9" x14ac:dyDescent="0.25">
      <c r="A54" s="67" t="s">
        <v>273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MkPaOGWNUfdZ/YWr0gxJHv0zFfUHp5odHbpCHQxJBLMpUZMJt67b1G4QVR2p2z/t+7RlGN8Qz6/DyNe7j37bPA==" saltValue="zOQnlk3uo2ZNDUZvSst6T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14999847407452621"/>
  </sheetPr>
  <dimension ref="A2:G61"/>
  <sheetViews>
    <sheetView tabSelected="1"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Westgate Communications., dba WeavTel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260</v>
      </c>
      <c r="C8" s="12" t="s">
        <v>277</v>
      </c>
      <c r="D8" s="12"/>
      <c r="E8" s="9"/>
      <c r="F8" s="12" t="s">
        <v>260</v>
      </c>
      <c r="G8" s="6" t="s">
        <v>277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50869</v>
      </c>
      <c r="C10" s="33">
        <f>'CurrentYearBalanceSheet '!D10</f>
        <v>60637</v>
      </c>
      <c r="D10" s="18"/>
      <c r="E10" s="18" t="s">
        <v>77</v>
      </c>
      <c r="F10" s="33">
        <f>PriorYearBalanceSheet!I10</f>
        <v>441677</v>
      </c>
      <c r="G10" s="33">
        <f>'CurrentYearBalanceSheet '!I10</f>
        <v>458408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63599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35545</v>
      </c>
      <c r="G12" s="33">
        <f>'CurrentYearBalanceSheet '!I12</f>
        <v>41624</v>
      </c>
    </row>
    <row r="13" spans="1:7" x14ac:dyDescent="0.25">
      <c r="A13" s="18" t="s">
        <v>43</v>
      </c>
      <c r="B13" s="33">
        <f>PriorYearBalanceSheet!D13</f>
        <v>8</v>
      </c>
      <c r="C13" s="33">
        <f>'CurrentYearBalanceSheet '!D13</f>
        <v>467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46</v>
      </c>
      <c r="B14" s="33">
        <f>PriorYearBalanceSheet!D14</f>
        <v>36493</v>
      </c>
      <c r="C14" s="33">
        <f>'CurrentYearBalanceSheet '!D14</f>
        <v>35320</v>
      </c>
      <c r="D14" s="18"/>
      <c r="E14" s="18" t="s">
        <v>82</v>
      </c>
      <c r="F14" s="33">
        <f>PriorYearBalanceSheet!I14</f>
        <v>1389583</v>
      </c>
      <c r="G14" s="33">
        <f>'CurrentYearBalanceSheet '!I14</f>
        <v>1372264</v>
      </c>
    </row>
    <row r="15" spans="1:7" x14ac:dyDescent="0.2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0</v>
      </c>
      <c r="C17" s="33">
        <f>'CurrentYearBalanceSheet '!D17</f>
        <v>0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6351</v>
      </c>
      <c r="G18" s="33">
        <f>'CurrentYearBalanceSheet '!I18</f>
        <v>5215</v>
      </c>
    </row>
    <row r="19" spans="1:7" x14ac:dyDescent="0.2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634798</v>
      </c>
      <c r="G19" s="33">
        <f>'CurrentYearBalanceSheet '!I19</f>
        <v>653317</v>
      </c>
    </row>
    <row r="20" spans="1:7" x14ac:dyDescent="0.2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2571553</v>
      </c>
      <c r="G20" s="36">
        <f>SUM(G10:G19)</f>
        <v>2530828</v>
      </c>
    </row>
    <row r="21" spans="1:7" x14ac:dyDescent="0.2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60117</v>
      </c>
      <c r="G22" s="33">
        <f>'CurrentYearBalanceSheet '!I22</f>
        <v>60117</v>
      </c>
    </row>
    <row r="23" spans="1:7" x14ac:dyDescent="0.25">
      <c r="A23" s="18" t="s">
        <v>50</v>
      </c>
      <c r="B23" s="33">
        <f>PriorYearBalanceSheet!D23</f>
        <v>2367</v>
      </c>
      <c r="C23" s="33">
        <f>'CurrentYearBalanceSheet '!D23</f>
        <v>4991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89737</v>
      </c>
      <c r="C25" s="33">
        <f>C10+C11+C13+C14+C15+C17+C18+C19+C20+C21+C22+C23+C24</f>
        <v>101415</v>
      </c>
      <c r="D25" s="18"/>
      <c r="E25" s="18" t="s">
        <v>93</v>
      </c>
      <c r="F25" s="33">
        <f>PriorYearBalanceSheet!I25</f>
        <v>155726</v>
      </c>
      <c r="G25" s="33">
        <f>'CurrentYearBalanceSheet '!I25</f>
        <v>155102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1768</v>
      </c>
      <c r="G31" s="34">
        <f>'CurrentYearBalanceSheet '!I31</f>
        <v>1768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217611</v>
      </c>
      <c r="G32" s="37">
        <f>SUM(G22:G31)</f>
        <v>216987</v>
      </c>
    </row>
    <row r="33" spans="1:7" x14ac:dyDescent="0.25">
      <c r="A33" s="18" t="s">
        <v>56</v>
      </c>
      <c r="B33" s="33">
        <f>PriorYearBalanceSheet!D33</f>
        <v>2500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59959</v>
      </c>
      <c r="C35" s="33">
        <f>'CurrentYearBalanceSheet '!D35</f>
        <v>79686</v>
      </c>
      <c r="D35" s="18"/>
      <c r="E35" t="s">
        <v>247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61</v>
      </c>
      <c r="B36" s="33">
        <f>PriorYearBalanceSheet!D36</f>
        <v>0</v>
      </c>
      <c r="C36" s="33">
        <f>'CurrentYearBalanceSheet '!D36</f>
        <v>1750</v>
      </c>
      <c r="D36" s="18"/>
      <c r="E36" s="14" t="s">
        <v>261</v>
      </c>
      <c r="F36" s="33">
        <f>PriorYearBalanceSheet!I36</f>
        <v>0</v>
      </c>
      <c r="G36" s="33">
        <f>'CurrentYearBalanceSheet '!I36</f>
        <v>0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294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0</v>
      </c>
      <c r="G38" s="33">
        <f>SUM(G34:G37)</f>
        <v>0</v>
      </c>
    </row>
    <row r="39" spans="1:7" x14ac:dyDescent="0.25">
      <c r="A39" s="18" t="s">
        <v>64</v>
      </c>
      <c r="B39" s="33">
        <f>B30+B31+B33+B34+B35+B36+B37+B38</f>
        <v>62459</v>
      </c>
      <c r="C39" s="33">
        <f>C30+C31+C33+C34+C35+C36+C37+C38</f>
        <v>81436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2261114</v>
      </c>
      <c r="C42" s="33">
        <f>'CurrentYearBalanceSheet '!D42</f>
        <v>2311715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66862</v>
      </c>
      <c r="C44" s="33">
        <f>'CurrentYearBalanceSheet '!D44</f>
        <v>87557</v>
      </c>
      <c r="D44" s="18"/>
      <c r="E44" s="18" t="s">
        <v>252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-1644210</v>
      </c>
      <c r="C46" s="34">
        <f>'CurrentYearBalanceSheet '!D46</f>
        <v>-1763978</v>
      </c>
      <c r="D46" s="18"/>
      <c r="E46" s="18" t="s">
        <v>262</v>
      </c>
      <c r="F46" s="34">
        <f>PriorYearBalanceSheet!I46</f>
        <v>-1953202</v>
      </c>
      <c r="G46" s="34">
        <f>'CurrentYearBalanceSheet '!I46</f>
        <v>-1929670</v>
      </c>
    </row>
    <row r="47" spans="1:7" x14ac:dyDescent="0.25">
      <c r="A47" s="18" t="s">
        <v>70</v>
      </c>
      <c r="B47" s="33">
        <f>SUM(B42:B46)</f>
        <v>683766</v>
      </c>
      <c r="C47" s="33">
        <f>SUM(C42:C46)</f>
        <v>635294</v>
      </c>
      <c r="D47" s="18"/>
      <c r="E47" s="18" t="s">
        <v>263</v>
      </c>
      <c r="F47" s="33">
        <f>SUM(F40:F46)</f>
        <v>-1953202</v>
      </c>
      <c r="G47" s="33">
        <f>SUM(G40:G46)</f>
        <v>-1929670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835962</v>
      </c>
      <c r="C49" s="35">
        <f>C25+C39+C47</f>
        <v>818145</v>
      </c>
      <c r="D49" s="18"/>
      <c r="E49" s="22" t="s">
        <v>256</v>
      </c>
      <c r="F49" s="35">
        <f>F20+F32+F38+F47</f>
        <v>835962</v>
      </c>
      <c r="G49" s="35">
        <f>G20+G32+G38+G47</f>
        <v>818145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juG8wcveVmnd6kfrGw33y3eIA1/Ec0RO46MsLw99ZiulxZtZq6hPO8zuggUC20WiGHLFI79P6kGi6HgSpCeikg==" saltValue="HVI9n8SyCfEM0Soyodmv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14999847407452621"/>
  </sheetPr>
  <dimension ref="A2:F30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2016</v>
      </c>
      <c r="E8" s="12">
        <v>2017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296</v>
      </c>
      <c r="C10" s="11">
        <v>18</v>
      </c>
      <c r="D10" s="60">
        <f>'BalanceSheet(Summary)'!B42</f>
        <v>2261114</v>
      </c>
      <c r="E10" s="60">
        <f>'BalanceSheet(Summary)'!C42</f>
        <v>2311715</v>
      </c>
      <c r="F10" s="60">
        <f>(D10+E10)/2</f>
        <v>2286414.5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-1644210</v>
      </c>
      <c r="E12" s="60">
        <f>'BalanceSheet(Summary)'!C46</f>
        <v>-1763978</v>
      </c>
      <c r="F12" s="60">
        <f t="shared" ref="F12:F15" si="0">(D12+E12)/2</f>
        <v>-1704094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280</v>
      </c>
      <c r="C14" s="12"/>
      <c r="D14" s="53">
        <f>-13199</f>
        <v>-13199</v>
      </c>
      <c r="E14" s="53">
        <v>-5148</v>
      </c>
      <c r="F14" s="60">
        <f t="shared" si="0"/>
        <v>-9173.5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603705</v>
      </c>
      <c r="E15" s="64">
        <f>SUM(E10:E14)</f>
        <v>542589</v>
      </c>
      <c r="F15" s="65">
        <f t="shared" si="0"/>
        <v>573147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278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279</v>
      </c>
      <c r="B19" t="s">
        <v>281</v>
      </c>
      <c r="C19" s="67"/>
      <c r="D19" s="67"/>
      <c r="E19" s="67"/>
      <c r="F19" s="67"/>
    </row>
    <row r="20" spans="1:6" x14ac:dyDescent="0.25">
      <c r="B20" t="s">
        <v>295</v>
      </c>
      <c r="C20" s="67"/>
      <c r="D20" s="67"/>
      <c r="E20" s="67"/>
      <c r="F20" s="67"/>
    </row>
    <row r="21" spans="1:6" x14ac:dyDescent="0.25">
      <c r="A21" s="67"/>
      <c r="B21" t="s">
        <v>282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xI7YWRUYfnKNrI6BQgMGzM6Qsn95kjZqN5u1jcuYUS0l+yep9d0KDM9oOYrtwSkqBQv043rzQTh9LXXl+fkrDA==" saltValue="u4dSG8mrsULfh/X2/+mlB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</sheetPr>
  <dimension ref="A2:F30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264</v>
      </c>
      <c r="D9" s="12" t="s">
        <v>283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31</v>
      </c>
      <c r="D11" s="53">
        <v>40</v>
      </c>
      <c r="E11" s="33">
        <f>D11-C11</f>
        <v>9</v>
      </c>
      <c r="F11" s="39">
        <f>E11/C11</f>
        <v>0.29032258064516131</v>
      </c>
    </row>
    <row r="12" spans="1:6" x14ac:dyDescent="0.25">
      <c r="A12" s="11">
        <v>2</v>
      </c>
      <c r="B12" s="18" t="s">
        <v>122</v>
      </c>
      <c r="C12" s="53">
        <v>22</v>
      </c>
      <c r="D12" s="53">
        <v>29</v>
      </c>
      <c r="E12" s="33">
        <f>D12-C12</f>
        <v>7</v>
      </c>
      <c r="F12" s="39">
        <f t="shared" ref="F12:F13" si="0">E12/C12</f>
        <v>0.31818181818181818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53</v>
      </c>
      <c r="D13" s="35">
        <f t="shared" ref="D13:E13" si="1">SUM(D11:D12)</f>
        <v>69</v>
      </c>
      <c r="E13" s="35">
        <f t="shared" si="1"/>
        <v>16</v>
      </c>
      <c r="F13" s="40">
        <f t="shared" si="0"/>
        <v>0.30188679245283018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284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dZ6WuctZK/mS8rONKxLan7T6UUz4ZICXqjTe4bkiqz4xyyt9XEEs9DtxARU8tyQ9OHaKWRwORndsqIT2CEoqTg==" saltValue="vVZ4PCQXIQFPRVxq1Edy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14999847407452621"/>
  </sheetPr>
  <dimension ref="A2:J75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Westgate Communications.,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2016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267</v>
      </c>
    </row>
    <row r="9" spans="1:6" x14ac:dyDescent="0.25">
      <c r="A9" s="10">
        <v>1</v>
      </c>
      <c r="B9" s="4" t="s">
        <v>1</v>
      </c>
      <c r="C9" s="56">
        <v>23473</v>
      </c>
      <c r="D9" s="53"/>
      <c r="E9" s="60">
        <f>SUM(C9:D9)</f>
        <v>23473</v>
      </c>
    </row>
    <row r="10" spans="1:6" x14ac:dyDescent="0.25">
      <c r="A10" s="11">
        <v>2</v>
      </c>
      <c r="B10" s="15" t="s">
        <v>2</v>
      </c>
      <c r="C10" s="53">
        <v>545118</v>
      </c>
      <c r="D10" s="53">
        <v>6783</v>
      </c>
      <c r="E10" s="60">
        <f t="shared" ref="E10:E14" si="0">SUM(C10:D10)</f>
        <v>551901</v>
      </c>
    </row>
    <row r="11" spans="1:6" x14ac:dyDescent="0.25">
      <c r="A11" s="11">
        <v>3</v>
      </c>
      <c r="B11" s="15" t="s">
        <v>3</v>
      </c>
      <c r="C11" s="53">
        <v>3937</v>
      </c>
      <c r="D11" s="53"/>
      <c r="E11" s="60">
        <f t="shared" si="0"/>
        <v>3937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18557</v>
      </c>
      <c r="D13" s="53">
        <v>-8156</v>
      </c>
      <c r="E13" s="60">
        <f t="shared" si="0"/>
        <v>10401</v>
      </c>
    </row>
    <row r="14" spans="1:6" x14ac:dyDescent="0.25">
      <c r="A14" s="11">
        <v>6</v>
      </c>
      <c r="B14" s="15" t="s">
        <v>133</v>
      </c>
      <c r="C14" s="53">
        <v>-920</v>
      </c>
      <c r="D14" s="53"/>
      <c r="E14" s="60">
        <f t="shared" si="0"/>
        <v>-920</v>
      </c>
    </row>
    <row r="15" spans="1:6" x14ac:dyDescent="0.25">
      <c r="A15" s="11">
        <v>7</v>
      </c>
      <c r="B15" s="79" t="s">
        <v>132</v>
      </c>
      <c r="C15" s="82">
        <f>SUM(C9:C14)</f>
        <v>590165</v>
      </c>
      <c r="D15" s="82">
        <f t="shared" ref="D15:E15" si="1">SUM(D9:D14)</f>
        <v>-1373</v>
      </c>
      <c r="E15" s="82">
        <f t="shared" si="1"/>
        <v>588792</v>
      </c>
      <c r="F15" s="1"/>
    </row>
    <row r="16" spans="1:6" x14ac:dyDescent="0.25">
      <c r="A16" s="11">
        <v>8</v>
      </c>
      <c r="B16" s="15" t="s">
        <v>6</v>
      </c>
      <c r="C16" s="53">
        <v>235076</v>
      </c>
      <c r="D16" s="53">
        <v>-2818</v>
      </c>
      <c r="E16" s="42">
        <f>SUM(C16:D16)</f>
        <v>232258</v>
      </c>
    </row>
    <row r="17" spans="1:6" x14ac:dyDescent="0.25">
      <c r="A17" s="11">
        <v>9</v>
      </c>
      <c r="B17" s="15" t="s">
        <v>39</v>
      </c>
      <c r="C17" s="53">
        <v>12620</v>
      </c>
      <c r="D17" s="53">
        <v>-5284</v>
      </c>
      <c r="E17" s="42">
        <f t="shared" ref="E17:E21" si="2">SUM(C17:D17)</f>
        <v>7336</v>
      </c>
    </row>
    <row r="18" spans="1:6" x14ac:dyDescent="0.25">
      <c r="A18" s="11">
        <v>10</v>
      </c>
      <c r="B18" s="15" t="s">
        <v>7</v>
      </c>
      <c r="C18" s="53">
        <v>146718</v>
      </c>
      <c r="D18" s="53">
        <v>-4645</v>
      </c>
      <c r="E18" s="42">
        <f t="shared" si="2"/>
        <v>142073</v>
      </c>
    </row>
    <row r="19" spans="1:6" x14ac:dyDescent="0.25">
      <c r="A19" s="11">
        <v>11</v>
      </c>
      <c r="B19" s="15" t="s">
        <v>8</v>
      </c>
      <c r="C19" s="53">
        <v>750</v>
      </c>
      <c r="D19" s="53">
        <v>-750</v>
      </c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18545</v>
      </c>
      <c r="D20" s="53">
        <v>-122</v>
      </c>
      <c r="E20" s="42">
        <f t="shared" si="2"/>
        <v>18423</v>
      </c>
    </row>
    <row r="21" spans="1:6" x14ac:dyDescent="0.25">
      <c r="A21" s="11">
        <v>13</v>
      </c>
      <c r="B21" s="15" t="s">
        <v>10</v>
      </c>
      <c r="C21" s="53">
        <v>117577</v>
      </c>
      <c r="D21" s="53">
        <v>-3070</v>
      </c>
      <c r="E21" s="42">
        <f t="shared" si="2"/>
        <v>114507</v>
      </c>
    </row>
    <row r="22" spans="1:6" x14ac:dyDescent="0.25">
      <c r="A22" s="11">
        <v>14</v>
      </c>
      <c r="B22" s="76" t="s">
        <v>268</v>
      </c>
      <c r="C22" s="82">
        <f>C16+C17+C18+C19+C20+C21</f>
        <v>531286</v>
      </c>
      <c r="D22" s="82">
        <f>D16+D17+D18+D19+D20+D21</f>
        <v>-16689</v>
      </c>
      <c r="E22" s="83">
        <f>E16+E17+E18+E19+E20+E21</f>
        <v>514597</v>
      </c>
      <c r="F22" s="1"/>
    </row>
    <row r="23" spans="1:6" x14ac:dyDescent="0.25">
      <c r="A23" s="11">
        <v>15</v>
      </c>
      <c r="B23" s="15" t="s">
        <v>14</v>
      </c>
      <c r="C23" s="60">
        <f>C15-C22</f>
        <v>58879</v>
      </c>
      <c r="D23" s="60">
        <f>D15-D22</f>
        <v>15316</v>
      </c>
      <c r="E23" s="60">
        <f>E15-E22</f>
        <v>74195</v>
      </c>
    </row>
    <row r="24" spans="1:6" x14ac:dyDescent="0.2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>
        <v>2787</v>
      </c>
      <c r="E25" s="60">
        <f t="shared" ref="E25:E27" si="3">SUM(C25:D25)</f>
        <v>2787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2666</v>
      </c>
      <c r="D27" s="53">
        <v>607</v>
      </c>
      <c r="E27" s="60">
        <f t="shared" si="3"/>
        <v>3273</v>
      </c>
    </row>
    <row r="28" spans="1:6" x14ac:dyDescent="0.25">
      <c r="A28" s="11">
        <v>20</v>
      </c>
      <c r="B28" s="79" t="s">
        <v>12</v>
      </c>
      <c r="C28" s="74">
        <f>SUM(C25:C27)</f>
        <v>2666</v>
      </c>
      <c r="D28" s="74">
        <f t="shared" ref="D28:E28" si="4">SUM(D25:D27)</f>
        <v>3394</v>
      </c>
      <c r="E28" s="84">
        <f t="shared" si="4"/>
        <v>6060</v>
      </c>
    </row>
    <row r="29" spans="1:6" x14ac:dyDescent="0.25">
      <c r="A29" s="11">
        <v>21</v>
      </c>
      <c r="B29" s="79" t="s">
        <v>22</v>
      </c>
      <c r="C29" s="74">
        <f>C23+C24-C28</f>
        <v>56213</v>
      </c>
      <c r="D29" s="74">
        <f>D23+D24-D28</f>
        <v>11922</v>
      </c>
      <c r="E29" s="84">
        <f>E23+E24-E28</f>
        <v>68135</v>
      </c>
    </row>
    <row r="30" spans="1:6" x14ac:dyDescent="0.25">
      <c r="A30" s="11">
        <v>22</v>
      </c>
      <c r="B30" s="15" t="s">
        <v>15</v>
      </c>
      <c r="C30" s="53">
        <v>58019</v>
      </c>
      <c r="D30" s="55">
        <v>-6044</v>
      </c>
      <c r="E30" s="60">
        <f>SUM(C30:D30)</f>
        <v>51975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1511</v>
      </c>
      <c r="D32" s="55">
        <v>731</v>
      </c>
      <c r="E32" s="60">
        <f t="shared" si="5"/>
        <v>2242</v>
      </c>
    </row>
    <row r="33" spans="1:10" x14ac:dyDescent="0.25">
      <c r="A33" s="11">
        <v>25</v>
      </c>
      <c r="B33" s="15" t="s">
        <v>299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298</v>
      </c>
      <c r="C34" s="74">
        <f>SUM(C30:C33)</f>
        <v>59530</v>
      </c>
      <c r="D34" s="85">
        <f t="shared" ref="D34" si="6">SUM(D30:D33)</f>
        <v>-5313</v>
      </c>
      <c r="E34" s="74">
        <f>SUM(E30:E33)</f>
        <v>54217</v>
      </c>
    </row>
    <row r="35" spans="1:10" x14ac:dyDescent="0.25">
      <c r="A35" s="11">
        <v>27</v>
      </c>
      <c r="B35" s="15" t="s">
        <v>18</v>
      </c>
      <c r="C35" s="53">
        <v>2167</v>
      </c>
      <c r="D35" s="55"/>
      <c r="E35" s="33">
        <f>SUM(C35:D35)</f>
        <v>2167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22200</v>
      </c>
      <c r="D38" s="71">
        <f>-1*(D29-D34)</f>
        <v>-17235</v>
      </c>
      <c r="E38" s="33">
        <f t="shared" si="7"/>
        <v>4965</v>
      </c>
    </row>
    <row r="39" spans="1:10" x14ac:dyDescent="0.25">
      <c r="A39" s="11">
        <v>31</v>
      </c>
      <c r="B39" s="79" t="s">
        <v>21</v>
      </c>
      <c r="C39" s="74">
        <f>C29-C34+C35+C36+C37+C38</f>
        <v>21050</v>
      </c>
      <c r="D39" s="74">
        <f t="shared" ref="D39:E39" si="8">D29-D34+D35+D36+D37+D38</f>
        <v>0</v>
      </c>
      <c r="E39" s="74">
        <f t="shared" si="8"/>
        <v>21050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-1982239</v>
      </c>
      <c r="D41" s="55"/>
      <c r="E41" s="60">
        <f t="shared" ref="E41:E46" si="9">SUM(C41:D41)</f>
        <v>-1982239</v>
      </c>
    </row>
    <row r="42" spans="1:10" x14ac:dyDescent="0.25">
      <c r="A42" s="11">
        <v>34</v>
      </c>
      <c r="B42" s="15" t="s">
        <v>25</v>
      </c>
      <c r="C42" s="53">
        <v>7987</v>
      </c>
      <c r="D42" s="55"/>
      <c r="E42" s="60">
        <f t="shared" si="9"/>
        <v>7987</v>
      </c>
    </row>
    <row r="43" spans="1:10" x14ac:dyDescent="0.2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-1953202</v>
      </c>
      <c r="D47" s="85">
        <f t="shared" ref="D47:E47" si="10">(D39+D41+D42)-(D43+D44+D45+D46)</f>
        <v>0</v>
      </c>
      <c r="E47" s="84">
        <f t="shared" si="10"/>
        <v>-1953202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>
        <v>58020</v>
      </c>
      <c r="D52" s="87"/>
      <c r="E52" s="33">
        <f>C52</f>
        <v>58020</v>
      </c>
    </row>
    <row r="53" spans="1:7" x14ac:dyDescent="0.25">
      <c r="A53" s="11">
        <v>45</v>
      </c>
      <c r="B53" s="15" t="s">
        <v>35</v>
      </c>
      <c r="C53" s="88">
        <f>((C22+C28-C18-C19)/C15)</f>
        <v>0.65487448425440342</v>
      </c>
      <c r="D53" s="88">
        <f>((D22+D28-D18-D19)/D15)</f>
        <v>5.7538237436270938</v>
      </c>
      <c r="E53" s="88">
        <f>((E22+E28-E18-E19)/E15)</f>
        <v>0.64298427967771299</v>
      </c>
    </row>
    <row r="54" spans="1:7" x14ac:dyDescent="0.25">
      <c r="A54" s="11">
        <v>46</v>
      </c>
      <c r="B54" s="15" t="s">
        <v>36</v>
      </c>
      <c r="C54" s="88">
        <f>((C22+C28+C34)/C15)</f>
        <v>1.0056204620741658</v>
      </c>
      <c r="D54" s="88">
        <f>((D22+D28+D34)/D15)</f>
        <v>13.552804078659868</v>
      </c>
      <c r="E54" s="88">
        <f>((E22+E28+E34)/E15)</f>
        <v>0.97636177121971768</v>
      </c>
    </row>
    <row r="55" spans="1:7" x14ac:dyDescent="0.25">
      <c r="A55" s="11">
        <v>47</v>
      </c>
      <c r="B55" s="15" t="s">
        <v>37</v>
      </c>
      <c r="C55" s="88">
        <f>((C39+C34)/C34)</f>
        <v>1.3536032252645724</v>
      </c>
      <c r="D55" s="88">
        <f t="shared" ref="D55:E55" si="13">((D39+D34)/D34)</f>
        <v>1</v>
      </c>
      <c r="E55" s="88">
        <f t="shared" si="13"/>
        <v>1.3882546064887398</v>
      </c>
    </row>
    <row r="56" spans="1:7" x14ac:dyDescent="0.25">
      <c r="A56" s="11">
        <v>48</v>
      </c>
      <c r="B56" s="15" t="s">
        <v>38</v>
      </c>
      <c r="C56" s="88">
        <f>(C39+C34+C18+C19)/C52</f>
        <v>3.9305067218200622</v>
      </c>
      <c r="D56" s="88" t="e">
        <f>(D39+D34+D18+D19)/D52</f>
        <v>#DIV/0!</v>
      </c>
      <c r="E56" s="88">
        <f>(E39+E34+E18+E19)/E52</f>
        <v>3.7459496725267147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297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269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KgCbiPn61DoGsAuiyp57iJlLcrEXN4P10hWW0YXJ7BikhL7lXYfpNhtizBnS/W/wAXen4iEJxRBHMj+SWgLb2w==" saltValue="x4kH7s9CtA1ckY1V1p9LX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249977111117893"/>
  </sheetPr>
  <dimension ref="A2:G74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Westgate Communications.,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276</v>
      </c>
    </row>
    <row r="9" spans="1:6" x14ac:dyDescent="0.25">
      <c r="A9" s="10">
        <v>1</v>
      </c>
      <c r="B9" s="7" t="s">
        <v>1</v>
      </c>
      <c r="C9" s="56">
        <v>18944</v>
      </c>
      <c r="D9" s="53"/>
      <c r="E9" s="33">
        <f>SUM(C9:D9)</f>
        <v>18944</v>
      </c>
    </row>
    <row r="10" spans="1:6" x14ac:dyDescent="0.25">
      <c r="A10" s="11">
        <v>2</v>
      </c>
      <c r="B10" s="18" t="s">
        <v>2</v>
      </c>
      <c r="C10" s="53">
        <v>607661</v>
      </c>
      <c r="D10" s="53">
        <v>5844</v>
      </c>
      <c r="E10" s="33">
        <f t="shared" ref="E10:E14" si="0">SUM(C10:D10)</f>
        <v>613505</v>
      </c>
    </row>
    <row r="11" spans="1:6" x14ac:dyDescent="0.25">
      <c r="A11" s="11">
        <v>3</v>
      </c>
      <c r="B11" s="18" t="s">
        <v>3</v>
      </c>
      <c r="C11" s="53">
        <v>702</v>
      </c>
      <c r="D11" s="53"/>
      <c r="E11" s="33">
        <f t="shared" si="0"/>
        <v>702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21100</v>
      </c>
      <c r="D13" s="53">
        <v>-6371</v>
      </c>
      <c r="E13" s="33">
        <f t="shared" si="0"/>
        <v>14729</v>
      </c>
    </row>
    <row r="14" spans="1:6" x14ac:dyDescent="0.25">
      <c r="A14" s="11">
        <v>6</v>
      </c>
      <c r="B14" s="18" t="s">
        <v>133</v>
      </c>
      <c r="C14" s="53">
        <v>-29</v>
      </c>
      <c r="D14" s="53"/>
      <c r="E14" s="33">
        <f t="shared" si="0"/>
        <v>-29</v>
      </c>
    </row>
    <row r="15" spans="1:6" x14ac:dyDescent="0.25">
      <c r="A15" s="11">
        <v>7</v>
      </c>
      <c r="B15" s="76" t="s">
        <v>132</v>
      </c>
      <c r="C15" s="41">
        <f>SUM(C9:C14)</f>
        <v>648378</v>
      </c>
      <c r="D15" s="41">
        <f t="shared" ref="D15:E15" si="1">SUM(D9:D14)</f>
        <v>-527</v>
      </c>
      <c r="E15" s="41">
        <f t="shared" si="1"/>
        <v>647851</v>
      </c>
      <c r="F15" s="1"/>
    </row>
    <row r="16" spans="1:6" x14ac:dyDescent="0.25">
      <c r="A16" s="11">
        <v>8</v>
      </c>
      <c r="B16" s="18" t="s">
        <v>6</v>
      </c>
      <c r="C16" s="53">
        <v>238318</v>
      </c>
      <c r="D16" s="53">
        <f>-3980</f>
        <v>-3980</v>
      </c>
      <c r="E16" s="42">
        <f>SUM(C16:D16)</f>
        <v>234338</v>
      </c>
    </row>
    <row r="17" spans="1:6" x14ac:dyDescent="0.25">
      <c r="A17" s="11">
        <v>9</v>
      </c>
      <c r="B17" s="18" t="s">
        <v>39</v>
      </c>
      <c r="C17" s="53">
        <v>9063</v>
      </c>
      <c r="D17" s="53">
        <f>-3642</f>
        <v>-3642</v>
      </c>
      <c r="E17" s="42">
        <f t="shared" ref="E17:E21" si="2">SUM(C17:D17)</f>
        <v>5421</v>
      </c>
    </row>
    <row r="18" spans="1:6" x14ac:dyDescent="0.25">
      <c r="A18" s="11">
        <v>10</v>
      </c>
      <c r="B18" s="18" t="s">
        <v>7</v>
      </c>
      <c r="C18" s="53">
        <v>134884</v>
      </c>
      <c r="D18" s="53">
        <v>-6229</v>
      </c>
      <c r="E18" s="42">
        <f t="shared" si="2"/>
        <v>128655</v>
      </c>
    </row>
    <row r="19" spans="1:6" x14ac:dyDescent="0.25">
      <c r="A19" s="11">
        <v>11</v>
      </c>
      <c r="B19" s="18" t="s">
        <v>8</v>
      </c>
      <c r="C19" s="53">
        <v>750</v>
      </c>
      <c r="D19" s="53">
        <v>-14</v>
      </c>
      <c r="E19" s="42">
        <f t="shared" si="2"/>
        <v>736</v>
      </c>
    </row>
    <row r="20" spans="1:6" x14ac:dyDescent="0.25">
      <c r="A20" s="11">
        <v>12</v>
      </c>
      <c r="B20" s="18" t="s">
        <v>9</v>
      </c>
      <c r="C20" s="53">
        <v>20526</v>
      </c>
      <c r="D20" s="53">
        <v>-276</v>
      </c>
      <c r="E20" s="42">
        <f t="shared" si="2"/>
        <v>20250</v>
      </c>
    </row>
    <row r="21" spans="1:6" x14ac:dyDescent="0.25">
      <c r="A21" s="11">
        <v>13</v>
      </c>
      <c r="B21" s="18" t="s">
        <v>10</v>
      </c>
      <c r="C21" s="53">
        <v>197170</v>
      </c>
      <c r="D21" s="53">
        <v>2308</v>
      </c>
      <c r="E21" s="42">
        <f t="shared" si="2"/>
        <v>199478</v>
      </c>
    </row>
    <row r="22" spans="1:6" x14ac:dyDescent="0.25">
      <c r="A22" s="11">
        <v>14</v>
      </c>
      <c r="B22" s="76" t="s">
        <v>268</v>
      </c>
      <c r="C22" s="41">
        <f>C16+C17+C18+C19+C20+C21</f>
        <v>600711</v>
      </c>
      <c r="D22" s="41">
        <f>D16+D17+D18+D19+D20+D21</f>
        <v>-11833</v>
      </c>
      <c r="E22" s="43">
        <f>E16+E17+E18+E19+E20+E21</f>
        <v>588878</v>
      </c>
      <c r="F22" s="1"/>
    </row>
    <row r="23" spans="1:6" x14ac:dyDescent="0.25">
      <c r="A23" s="11">
        <v>15</v>
      </c>
      <c r="B23" s="18" t="s">
        <v>14</v>
      </c>
      <c r="C23" s="33">
        <f>C15-C22</f>
        <v>47667</v>
      </c>
      <c r="D23" s="33">
        <f>D15-D22</f>
        <v>11306</v>
      </c>
      <c r="E23" s="33">
        <f>E15-E22</f>
        <v>58973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2936</v>
      </c>
      <c r="D27" s="120">
        <v>-596</v>
      </c>
      <c r="E27" s="33">
        <f t="shared" si="3"/>
        <v>2340</v>
      </c>
    </row>
    <row r="28" spans="1:6" x14ac:dyDescent="0.25">
      <c r="A28" s="11">
        <v>20</v>
      </c>
      <c r="B28" s="76" t="s">
        <v>12</v>
      </c>
      <c r="C28" s="38">
        <f>SUM(C25:C27)</f>
        <v>2936</v>
      </c>
      <c r="D28" s="38">
        <f t="shared" ref="D28:E28" si="4">SUM(D25:D27)</f>
        <v>-596</v>
      </c>
      <c r="E28" s="44">
        <f t="shared" si="4"/>
        <v>2340</v>
      </c>
    </row>
    <row r="29" spans="1:6" x14ac:dyDescent="0.25">
      <c r="A29" s="11">
        <v>21</v>
      </c>
      <c r="B29" s="76" t="s">
        <v>22</v>
      </c>
      <c r="C29" s="38">
        <f>C23+C24-C28</f>
        <v>44731</v>
      </c>
      <c r="D29" s="38">
        <f>D23+D24-D28</f>
        <v>11902</v>
      </c>
      <c r="E29" s="44">
        <f>E23+E24-E28</f>
        <v>56633</v>
      </c>
    </row>
    <row r="30" spans="1:6" x14ac:dyDescent="0.25">
      <c r="A30" s="11">
        <v>22</v>
      </c>
      <c r="B30" s="18" t="s">
        <v>15</v>
      </c>
      <c r="C30" s="53">
        <v>67020</v>
      </c>
      <c r="D30" s="55">
        <v>-11734</v>
      </c>
      <c r="E30" s="33">
        <f>SUM(C30:D30)</f>
        <v>55286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3077</v>
      </c>
      <c r="D32" s="55">
        <v>-3077</v>
      </c>
      <c r="E32" s="33">
        <f t="shared" si="5"/>
        <v>0</v>
      </c>
    </row>
    <row r="33" spans="1:5" x14ac:dyDescent="0.25">
      <c r="A33" s="11">
        <v>25</v>
      </c>
      <c r="B33" s="18" t="s">
        <v>299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298</v>
      </c>
      <c r="C34" s="38">
        <f>SUM(C30:C33)</f>
        <v>70097</v>
      </c>
      <c r="D34" s="66">
        <f t="shared" ref="D34" si="6">SUM(D30:D33)</f>
        <v>-14811</v>
      </c>
      <c r="E34" s="38">
        <f>SUM(E30:E33)</f>
        <v>55286</v>
      </c>
    </row>
    <row r="35" spans="1:5" x14ac:dyDescent="0.25">
      <c r="A35" s="11">
        <v>27</v>
      </c>
      <c r="B35" s="18" t="s">
        <v>18</v>
      </c>
      <c r="C35" s="53"/>
      <c r="D35" s="55">
        <v>-13000</v>
      </c>
      <c r="E35" s="33">
        <f>SUM(C35:D35)</f>
        <v>-13000</v>
      </c>
    </row>
    <row r="36" spans="1:5" x14ac:dyDescent="0.25">
      <c r="A36" s="11">
        <v>28</v>
      </c>
      <c r="B36" s="18" t="s">
        <v>19</v>
      </c>
      <c r="C36" s="53">
        <v>63599</v>
      </c>
      <c r="D36" s="55"/>
      <c r="E36" s="33">
        <f t="shared" ref="E36:E38" si="7">SUM(C36:D36)</f>
        <v>63599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-14701</v>
      </c>
      <c r="D38" s="71">
        <f>-1*(D29-D34)</f>
        <v>-26713</v>
      </c>
      <c r="E38" s="33">
        <f t="shared" si="7"/>
        <v>-41414</v>
      </c>
    </row>
    <row r="39" spans="1:5" x14ac:dyDescent="0.25">
      <c r="A39" s="11">
        <v>31</v>
      </c>
      <c r="B39" s="76" t="s">
        <v>21</v>
      </c>
      <c r="C39" s="38">
        <f>C29-C34+C35+C36+C37+C38</f>
        <v>23532</v>
      </c>
      <c r="D39" s="38">
        <f t="shared" ref="D39:E39" si="8">D29-D34+D35+D36+D37+D38</f>
        <v>-13000</v>
      </c>
      <c r="E39" s="38">
        <f t="shared" si="8"/>
        <v>10532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-1953202</v>
      </c>
      <c r="D41" s="55"/>
      <c r="E41" s="33">
        <f t="shared" ref="E41:E46" si="9">SUM(C41:D41)</f>
        <v>-1953202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-1929670</v>
      </c>
      <c r="D47" s="66">
        <f t="shared" ref="D47:E47" si="10">(D39+D41+D42)-(D43+D44+D45+D46)</f>
        <v>-13000</v>
      </c>
      <c r="E47" s="44">
        <f t="shared" si="10"/>
        <v>-1942670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>
        <v>58020</v>
      </c>
      <c r="D52" s="81"/>
      <c r="E52" s="33">
        <f>C52</f>
        <v>58020</v>
      </c>
    </row>
    <row r="53" spans="1:7" x14ac:dyDescent="0.25">
      <c r="A53" s="11">
        <v>45</v>
      </c>
      <c r="B53" s="18" t="s">
        <v>35</v>
      </c>
      <c r="C53" s="47">
        <f>((C22+C28-C18-C19)/C15)</f>
        <v>0.7218212215713673</v>
      </c>
      <c r="D53" s="47">
        <f>((D22+D28-D18-D19)/D15)</f>
        <v>11.738140417457306</v>
      </c>
      <c r="E53" s="47">
        <f>((E22+E28-E18-E19)/E15)</f>
        <v>0.71285990142795175</v>
      </c>
    </row>
    <row r="54" spans="1:7" x14ac:dyDescent="0.25">
      <c r="A54" s="11">
        <v>46</v>
      </c>
      <c r="B54" s="18" t="s">
        <v>36</v>
      </c>
      <c r="C54" s="47">
        <f>((C22+C28+C34)/C15)</f>
        <v>1.0391222404214826</v>
      </c>
      <c r="D54" s="47">
        <f>((D22+D28+D34)/D15)</f>
        <v>51.688804554079695</v>
      </c>
      <c r="E54" s="47">
        <f>((E22+E28+E34)/E15)</f>
        <v>0.99792081821282985</v>
      </c>
    </row>
    <row r="55" spans="1:7" x14ac:dyDescent="0.25">
      <c r="A55" s="11">
        <v>47</v>
      </c>
      <c r="B55" s="18" t="s">
        <v>37</v>
      </c>
      <c r="C55" s="47">
        <f>((C39+C34)/C34)</f>
        <v>1.3357062356448921</v>
      </c>
      <c r="D55" s="47">
        <f t="shared" ref="D55:E55" si="13">((D39+D34)/D34)</f>
        <v>1.8777260144487204</v>
      </c>
      <c r="E55" s="47">
        <f t="shared" si="13"/>
        <v>1.1905003074919509</v>
      </c>
    </row>
    <row r="56" spans="1:7" x14ac:dyDescent="0.25">
      <c r="A56" s="11">
        <v>48</v>
      </c>
      <c r="B56" s="18" t="s">
        <v>38</v>
      </c>
      <c r="C56" s="47">
        <f>(C39+C34+C18+C19)/C52</f>
        <v>3.9514477766287488</v>
      </c>
      <c r="D56" s="47" t="e">
        <f>(D39+D34+D18+D19)/D52</f>
        <v>#DIV/0!</v>
      </c>
      <c r="E56" s="47">
        <f>(E39+E34+E18+E19)/E52</f>
        <v>3.3645122371596003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300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270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kU2EF6hnfJ9VUJaJtcBRuOMUqnAe3mqLykiFOEjARZkTjnT7NZSXLHxDN9f5LgEeTCyGrSCBASb5k3Q8aRPy2Q==" saltValue="ItxEV3us4c8CagKpOjmkc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14999847407452621"/>
  </sheetPr>
  <dimension ref="A2:E69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Westgate Communications., dba WeavTel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2016</v>
      </c>
      <c r="D8" s="6">
        <v>2017</v>
      </c>
    </row>
    <row r="9" spans="1:5" x14ac:dyDescent="0.25">
      <c r="A9" s="10">
        <v>1</v>
      </c>
      <c r="B9" s="7" t="s">
        <v>1</v>
      </c>
      <c r="C9" s="37">
        <f>PriorYearIncomeStmt!E9</f>
        <v>23473</v>
      </c>
      <c r="D9" s="42">
        <f>'CurrentYearIncomeStmt '!E9</f>
        <v>18944</v>
      </c>
    </row>
    <row r="10" spans="1:5" x14ac:dyDescent="0.25">
      <c r="A10" s="11">
        <v>2</v>
      </c>
      <c r="B10" s="18" t="s">
        <v>2</v>
      </c>
      <c r="C10" s="33">
        <f>PriorYearIncomeStmt!E10</f>
        <v>551901</v>
      </c>
      <c r="D10" s="42">
        <f>'CurrentYearIncomeStmt '!E10</f>
        <v>613505</v>
      </c>
    </row>
    <row r="11" spans="1:5" x14ac:dyDescent="0.25">
      <c r="A11" s="11">
        <v>3</v>
      </c>
      <c r="B11" s="18" t="s">
        <v>3</v>
      </c>
      <c r="C11" s="33">
        <f>PriorYearIncomeStmt!E11</f>
        <v>3937</v>
      </c>
      <c r="D11" s="42">
        <f>'CurrentYearIncomeStmt '!E11</f>
        <v>702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10401</v>
      </c>
      <c r="D13" s="42">
        <f>'CurrentYearIncomeStmt '!E13</f>
        <v>14729</v>
      </c>
    </row>
    <row r="14" spans="1:5" x14ac:dyDescent="0.25">
      <c r="A14" s="11">
        <v>6</v>
      </c>
      <c r="B14" s="18" t="s">
        <v>133</v>
      </c>
      <c r="C14" s="33">
        <f>PriorYearIncomeStmt!E14</f>
        <v>-920</v>
      </c>
      <c r="D14" s="42">
        <f>'CurrentYearIncomeStmt '!E14</f>
        <v>-29</v>
      </c>
    </row>
    <row r="15" spans="1:5" x14ac:dyDescent="0.25">
      <c r="A15" s="11">
        <v>7</v>
      </c>
      <c r="B15" s="76" t="s">
        <v>132</v>
      </c>
      <c r="C15" s="41">
        <f>SUM(C9:C14)</f>
        <v>588792</v>
      </c>
      <c r="D15" s="43">
        <f t="shared" ref="D15" si="0">SUM(D9:D14)</f>
        <v>647851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232258</v>
      </c>
      <c r="D16" s="42">
        <f>'CurrentYearIncomeStmt '!E16</f>
        <v>234338</v>
      </c>
    </row>
    <row r="17" spans="1:5" x14ac:dyDescent="0.25">
      <c r="A17" s="11">
        <v>9</v>
      </c>
      <c r="B17" s="18" t="s">
        <v>39</v>
      </c>
      <c r="C17" s="33">
        <f>PriorYearIncomeStmt!E17</f>
        <v>7336</v>
      </c>
      <c r="D17" s="42">
        <f>'CurrentYearIncomeStmt '!E17</f>
        <v>5421</v>
      </c>
    </row>
    <row r="18" spans="1:5" x14ac:dyDescent="0.25">
      <c r="A18" s="11">
        <v>10</v>
      </c>
      <c r="B18" s="18" t="s">
        <v>7</v>
      </c>
      <c r="C18" s="33">
        <f>PriorYearIncomeStmt!E18</f>
        <v>142073</v>
      </c>
      <c r="D18" s="42">
        <f>'CurrentYearIncomeStmt '!E18</f>
        <v>128655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736</v>
      </c>
    </row>
    <row r="20" spans="1:5" x14ac:dyDescent="0.25">
      <c r="A20" s="11">
        <v>12</v>
      </c>
      <c r="B20" s="18" t="s">
        <v>9</v>
      </c>
      <c r="C20" s="33">
        <f>PriorYearIncomeStmt!E20</f>
        <v>18423</v>
      </c>
      <c r="D20" s="42">
        <f>'CurrentYearIncomeStmt '!E20</f>
        <v>20250</v>
      </c>
    </row>
    <row r="21" spans="1:5" x14ac:dyDescent="0.25">
      <c r="A21" s="11">
        <v>13</v>
      </c>
      <c r="B21" s="18" t="s">
        <v>10</v>
      </c>
      <c r="C21" s="33">
        <f>PriorYearIncomeStmt!E21</f>
        <v>114507</v>
      </c>
      <c r="D21" s="42">
        <f>'CurrentYearIncomeStmt '!E21</f>
        <v>199478</v>
      </c>
    </row>
    <row r="22" spans="1:5" x14ac:dyDescent="0.25">
      <c r="A22" s="11">
        <v>14</v>
      </c>
      <c r="B22" s="76" t="s">
        <v>268</v>
      </c>
      <c r="C22" s="41">
        <f>C16+C17+C18+C19+C20+C21</f>
        <v>514597</v>
      </c>
      <c r="D22" s="43">
        <f>D16+D17+D18+D19+D20+D21</f>
        <v>588878</v>
      </c>
      <c r="E22" s="1"/>
    </row>
    <row r="23" spans="1:5" x14ac:dyDescent="0.25">
      <c r="A23" s="11">
        <v>15</v>
      </c>
      <c r="B23" s="18" t="s">
        <v>14</v>
      </c>
      <c r="C23" s="33">
        <f>C15-C22</f>
        <v>74195</v>
      </c>
      <c r="D23" s="42">
        <f>D15-D22</f>
        <v>58973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2787</v>
      </c>
      <c r="D25" s="42">
        <f>'CurrentYearIncomeStmt '!E25</f>
        <v>0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3273</v>
      </c>
      <c r="D27" s="42">
        <f>'CurrentYearIncomeStmt '!E27</f>
        <v>2340</v>
      </c>
    </row>
    <row r="28" spans="1:5" x14ac:dyDescent="0.25">
      <c r="A28" s="11">
        <v>20</v>
      </c>
      <c r="B28" s="76" t="s">
        <v>12</v>
      </c>
      <c r="C28" s="38">
        <f>SUM(C25:C27)</f>
        <v>6060</v>
      </c>
      <c r="D28" s="44">
        <f t="shared" ref="D28" si="1">SUM(D25:D27)</f>
        <v>2340</v>
      </c>
    </row>
    <row r="29" spans="1:5" x14ac:dyDescent="0.25">
      <c r="A29" s="11">
        <v>21</v>
      </c>
      <c r="B29" s="76" t="s">
        <v>22</v>
      </c>
      <c r="C29" s="38">
        <f>C23+C24-C28</f>
        <v>68135</v>
      </c>
      <c r="D29" s="44">
        <f>D23+D24-D28</f>
        <v>56633</v>
      </c>
    </row>
    <row r="30" spans="1:5" x14ac:dyDescent="0.25">
      <c r="A30" s="11">
        <v>22</v>
      </c>
      <c r="B30" s="18" t="s">
        <v>15</v>
      </c>
      <c r="C30" s="33">
        <f>PriorYearIncomeStmt!E30</f>
        <v>51975</v>
      </c>
      <c r="D30" s="42">
        <f>'CurrentYearIncomeStmt '!E30</f>
        <v>55286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2242</v>
      </c>
      <c r="D32" s="42">
        <f>'CurrentYearIncomeStmt '!E32</f>
        <v>0</v>
      </c>
    </row>
    <row r="33" spans="1:4" x14ac:dyDescent="0.25">
      <c r="A33" s="11">
        <v>25</v>
      </c>
      <c r="B33" s="18" t="s">
        <v>301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298</v>
      </c>
      <c r="C34" s="38">
        <f>SUM(C30:C33)</f>
        <v>54217</v>
      </c>
      <c r="D34" s="44">
        <f t="shared" ref="D34" si="2">SUM(D30:D33)</f>
        <v>55286</v>
      </c>
    </row>
    <row r="35" spans="1:4" x14ac:dyDescent="0.25">
      <c r="A35" s="11">
        <v>27</v>
      </c>
      <c r="B35" s="18" t="s">
        <v>18</v>
      </c>
      <c r="C35" s="33">
        <f>PriorYearIncomeStmt!E35</f>
        <v>2167</v>
      </c>
      <c r="D35" s="42">
        <f>'CurrentYearIncomeStmt '!E35</f>
        <v>-13000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63599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4965</v>
      </c>
      <c r="D38" s="42">
        <f>'CurrentYearIncomeStmt '!E38</f>
        <v>-41414</v>
      </c>
    </row>
    <row r="39" spans="1:4" x14ac:dyDescent="0.25">
      <c r="A39" s="11">
        <v>31</v>
      </c>
      <c r="B39" s="76" t="s">
        <v>21</v>
      </c>
      <c r="C39" s="38">
        <f>C29-C34+C35+C36+C37+C38</f>
        <v>21050</v>
      </c>
      <c r="D39" s="44">
        <f t="shared" ref="D39" si="3">D29-D34+D35+D36+D37+D38</f>
        <v>10532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-1982239</v>
      </c>
      <c r="D41" s="42">
        <f>'CurrentYearIncomeStmt '!E41</f>
        <v>-1953202</v>
      </c>
    </row>
    <row r="42" spans="1:4" x14ac:dyDescent="0.25">
      <c r="A42" s="11">
        <v>34</v>
      </c>
      <c r="B42" s="18" t="s">
        <v>25</v>
      </c>
      <c r="C42" s="33">
        <f>PriorYearIncomeStmt!E42</f>
        <v>7987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-1953202</v>
      </c>
      <c r="D47" s="44">
        <f t="shared" ref="D47" si="4">(D39+D41+D42)-(D43+D44+D45+D46)</f>
        <v>-1942670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58020</v>
      </c>
      <c r="D52" s="42">
        <f>'CurrentYearIncomeStmt '!E52</f>
        <v>58020</v>
      </c>
    </row>
    <row r="53" spans="1:4" x14ac:dyDescent="0.25">
      <c r="A53" s="11">
        <v>45</v>
      </c>
      <c r="B53" s="18" t="s">
        <v>35</v>
      </c>
      <c r="C53" s="50">
        <f>((C22+C28-C18-C19)/C15)</f>
        <v>0.64298427967771299</v>
      </c>
      <c r="D53" s="50">
        <f>((D22+D28-D18-D19)/D15)</f>
        <v>0.71285990142795175</v>
      </c>
    </row>
    <row r="54" spans="1:4" x14ac:dyDescent="0.25">
      <c r="A54" s="11">
        <v>46</v>
      </c>
      <c r="B54" s="18" t="s">
        <v>36</v>
      </c>
      <c r="C54" s="50">
        <f>((C22+C28+C34)/C15)</f>
        <v>0.97636177121971768</v>
      </c>
      <c r="D54" s="50">
        <f>((D22+D28+D34)/D15)</f>
        <v>0.99792081821282985</v>
      </c>
    </row>
    <row r="55" spans="1:4" x14ac:dyDescent="0.25">
      <c r="A55" s="11">
        <v>47</v>
      </c>
      <c r="B55" s="18" t="s">
        <v>37</v>
      </c>
      <c r="C55" s="50">
        <f>((C39+C34)/C34)</f>
        <v>1.3882546064887398</v>
      </c>
      <c r="D55" s="50">
        <f t="shared" ref="D55" si="6">((D39+D34)/D34)</f>
        <v>1.1905003074919509</v>
      </c>
    </row>
    <row r="56" spans="1:4" x14ac:dyDescent="0.25">
      <c r="A56" s="11">
        <v>48</v>
      </c>
      <c r="B56" s="18" t="s">
        <v>38</v>
      </c>
      <c r="C56" s="46">
        <f>(C39+C34+C18+C19)/C52</f>
        <v>3.7459496725267147</v>
      </c>
      <c r="D56" s="50">
        <f>(D39+D34+D18+D19)/D52</f>
        <v>3.3645122371596003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265</v>
      </c>
      <c r="D59" s="49" t="s">
        <v>285</v>
      </c>
    </row>
    <row r="60" spans="1:4" x14ac:dyDescent="0.25">
      <c r="A60" s="48" t="s">
        <v>157</v>
      </c>
      <c r="B60" t="s">
        <v>149</v>
      </c>
      <c r="C60" s="58">
        <v>0.1234</v>
      </c>
      <c r="D60" s="58">
        <v>0.1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ORJF4xIei4viglWYVvh7Dmqa62qe7B49IKrLUhLdGK7MwdTWctE/eJY3TsiyvfIyJN/SEt7E7ffX/yDFoZjQgw==" saltValue="Y4qNcx07mVZTwpteMQyHA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80F8B03D8591A48B4A46111DEFAE935" ma:contentTypeVersion="76" ma:contentTypeDescription="" ma:contentTypeScope="" ma:versionID="e399cb9ad968483477e45ec632fbd22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2018-08-02T07:00:00+00:00</OpenedDate>
    <SignificantOrder xmlns="dc463f71-b30c-4ab2-9473-d307f9d35888">false</SignificantOrder>
    <Date1 xmlns="dc463f71-b30c-4ab2-9473-d307f9d35888">2018-09-26T07:00:00+00:00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180661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B7A665D-1EAF-4DD6-9A24-D9D675C4923A}"/>
</file>

<file path=customXml/itemProps2.xml><?xml version="1.0" encoding="utf-8"?>
<ds:datastoreItem xmlns:ds="http://schemas.openxmlformats.org/officeDocument/2006/customXml" ds:itemID="{8B52EBB8-3747-4A1F-B5C9-D379D3638BD2}"/>
</file>

<file path=customXml/itemProps3.xml><?xml version="1.0" encoding="utf-8"?>
<ds:datastoreItem xmlns:ds="http://schemas.openxmlformats.org/officeDocument/2006/customXml" ds:itemID="{B991ACE8-27D3-4336-A853-2549B1C1F353}"/>
</file>

<file path=customXml/itemProps4.xml><?xml version="1.0" encoding="utf-8"?>
<ds:datastoreItem xmlns:ds="http://schemas.openxmlformats.org/officeDocument/2006/customXml" ds:itemID="{1913AD70-6BB3-4467-960B-7179868F6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WEAVER</cp:lastModifiedBy>
  <cp:lastPrinted>2018-09-25T18:37:42Z</cp:lastPrinted>
  <dcterms:created xsi:type="dcterms:W3CDTF">2014-05-21T17:51:51Z</dcterms:created>
  <dcterms:modified xsi:type="dcterms:W3CDTF">2018-09-26T18:18:34Z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0x0101006E56B4D1795A2E4DB2F0B01679ED314A00080F8B03D8591A48B4A46111DEFAE935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