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Rate Calculation" sheetId="1" r:id="rId1"/>
    <sheet name="SAC" sheetId="5" r:id="rId2"/>
    <sheet name="Dose Rate" sheetId="3" r:id="rId3"/>
  </sheets>
  <externalReferences>
    <externalReference r:id="rId4"/>
    <externalReference r:id="rId5"/>
  </externalReferences>
  <definedNames>
    <definedName name="Allocators1997" localSheetId="2">'[1]Rate Calculation'!#REF!</definedName>
    <definedName name="Allocators1997" localSheetId="1">'[2]Rate Calculation'!#REF!</definedName>
    <definedName name="Allocators1997">'Rate Calculation'!#REF!</definedName>
    <definedName name="_xlnm.Print_Area" localSheetId="2">'Dose Rate'!$A$1:$H$16</definedName>
    <definedName name="_xlnm.Print_Area" localSheetId="0">'Rate Calculation'!$A$1:$N$51</definedName>
    <definedName name="_xlnm.Print_Area" localSheetId="1">SAC!$A$1:$I$32</definedName>
    <definedName name="RevReq1997" localSheetId="2">'[1]Rate Calculation'!#REF!</definedName>
    <definedName name="RevReq1997" localSheetId="1">'[2]Rate Calculation'!#REF!</definedName>
    <definedName name="RevReq1997">'Rate Calculation'!#REF!</definedName>
  </definedNames>
  <calcPr calcId="152511"/>
</workbook>
</file>

<file path=xl/calcChain.xml><?xml version="1.0" encoding="utf-8"?>
<calcChain xmlns="http://schemas.openxmlformats.org/spreadsheetml/2006/main">
  <c r="B3" i="3" l="1"/>
  <c r="B4" i="5" l="1"/>
  <c r="F12" i="1" l="1"/>
  <c r="F13" i="1" l="1"/>
  <c r="F14" i="1" s="1"/>
  <c r="F29" i="1" l="1"/>
  <c r="C5" i="5" s="1"/>
  <c r="C6" i="5" s="1"/>
  <c r="L8" i="1"/>
  <c r="L9" i="1" s="1"/>
  <c r="H8" i="1"/>
  <c r="H9" i="1" s="1"/>
  <c r="I20" i="5"/>
  <c r="I21" i="5"/>
  <c r="G8" i="3"/>
  <c r="G9" i="3"/>
  <c r="G10" i="3"/>
  <c r="G11" i="3"/>
  <c r="C22" i="5"/>
  <c r="F24" i="1"/>
  <c r="N25" i="1" s="1"/>
  <c r="K8" i="1"/>
  <c r="K9" i="1" s="1"/>
  <c r="K38" i="1"/>
  <c r="K45" i="1"/>
  <c r="J8" i="1"/>
  <c r="J9" i="1" s="1"/>
  <c r="J38" i="1"/>
  <c r="J45" i="1"/>
  <c r="I8" i="1"/>
  <c r="I9" i="1" s="1"/>
  <c r="I38" i="1"/>
  <c r="I45" i="1"/>
  <c r="L38" i="1"/>
  <c r="N38" i="1"/>
  <c r="N34" i="1"/>
  <c r="A5" i="5"/>
  <c r="A6" i="5" s="1"/>
  <c r="E11" i="5"/>
  <c r="E12" i="5"/>
  <c r="E13" i="5"/>
  <c r="E14" i="5"/>
  <c r="E15" i="5"/>
  <c r="E16" i="5"/>
  <c r="E17" i="5"/>
  <c r="E18" i="5"/>
  <c r="E19" i="5"/>
  <c r="E20" i="5"/>
  <c r="E21" i="5"/>
  <c r="H21" i="5"/>
  <c r="H7" i="3"/>
  <c r="E8" i="3"/>
  <c r="H8" i="3"/>
  <c r="E9" i="3"/>
  <c r="H9" i="3"/>
  <c r="E10" i="3"/>
  <c r="H10" i="3"/>
  <c r="E11" i="3"/>
  <c r="H11" i="3"/>
  <c r="H12" i="3" s="1"/>
  <c r="C12" i="3"/>
  <c r="N5" i="1"/>
  <c r="A6" i="1"/>
  <c r="N6" i="1"/>
  <c r="N7" i="1"/>
  <c r="N15" i="1"/>
  <c r="H16" i="1"/>
  <c r="L16" i="1"/>
  <c r="K16" i="1"/>
  <c r="J16" i="1"/>
  <c r="I16" i="1"/>
  <c r="F12" i="5" l="1"/>
  <c r="G12" i="5" s="1"/>
  <c r="A7" i="1"/>
  <c r="A8" i="1" s="1"/>
  <c r="N30" i="1"/>
  <c r="N31" i="1" s="1"/>
  <c r="N33" i="1" s="1"/>
  <c r="I35" i="1" s="1"/>
  <c r="N16" i="1"/>
  <c r="N8" i="1"/>
  <c r="L18" i="1"/>
  <c r="L17" i="1"/>
  <c r="K17" i="1"/>
  <c r="K18" i="1"/>
  <c r="J17" i="1"/>
  <c r="J18" i="1"/>
  <c r="I18" i="1"/>
  <c r="I17" i="1"/>
  <c r="N9" i="1"/>
  <c r="H18" i="1"/>
  <c r="H17" i="1"/>
  <c r="F10" i="5"/>
  <c r="G10" i="5" s="1"/>
  <c r="I10" i="5" s="1"/>
  <c r="F11" i="5"/>
  <c r="G11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1" i="5"/>
  <c r="F20" i="5"/>
  <c r="A9" i="1" l="1"/>
  <c r="D9" i="1"/>
  <c r="D8" i="1"/>
  <c r="L35" i="1"/>
  <c r="L36" i="1" s="1"/>
  <c r="J35" i="1"/>
  <c r="J36" i="1" s="1"/>
  <c r="K35" i="1"/>
  <c r="K36" i="1" s="1"/>
  <c r="H35" i="1"/>
  <c r="H36" i="1" s="1"/>
  <c r="N17" i="1"/>
  <c r="I36" i="1"/>
  <c r="N18" i="1"/>
  <c r="I18" i="5"/>
  <c r="H18" i="5"/>
  <c r="I16" i="5"/>
  <c r="H16" i="5"/>
  <c r="H14" i="5"/>
  <c r="I14" i="5"/>
  <c r="H12" i="5"/>
  <c r="I12" i="5"/>
  <c r="I19" i="5"/>
  <c r="H20" i="5"/>
  <c r="H19" i="5"/>
  <c r="I17" i="5"/>
  <c r="H17" i="5"/>
  <c r="H15" i="5"/>
  <c r="I15" i="5"/>
  <c r="H13" i="5"/>
  <c r="I13" i="5"/>
  <c r="H11" i="5"/>
  <c r="I11" i="5"/>
  <c r="A10" i="1" l="1"/>
  <c r="A11" i="1" s="1"/>
  <c r="I22" i="5"/>
  <c r="H41" i="1" s="1"/>
  <c r="N35" i="1"/>
  <c r="C4" i="5"/>
  <c r="N36" i="1"/>
  <c r="A12" i="1" l="1"/>
  <c r="A13" i="1" s="1"/>
  <c r="I23" i="5"/>
  <c r="H37" i="1" s="1"/>
  <c r="L39" i="1" s="1"/>
  <c r="D13" i="1" l="1"/>
  <c r="A14" i="1"/>
  <c r="A15" i="1" s="1"/>
  <c r="D14" i="1"/>
  <c r="K39" i="1"/>
  <c r="K40" i="1" s="1"/>
  <c r="K46" i="1" s="1"/>
  <c r="K47" i="1" s="1"/>
  <c r="J39" i="1"/>
  <c r="J40" i="1" s="1"/>
  <c r="J41" i="1" s="1"/>
  <c r="I39" i="1"/>
  <c r="I40" i="1" s="1"/>
  <c r="J46" i="1"/>
  <c r="J47" i="1" s="1"/>
  <c r="L40" i="1"/>
  <c r="L44" i="1" s="1"/>
  <c r="L41" i="1"/>
  <c r="A16" i="1" l="1"/>
  <c r="D16" i="1"/>
  <c r="N39" i="1"/>
  <c r="K41" i="1"/>
  <c r="N44" i="1"/>
  <c r="C3" i="3"/>
  <c r="I46" i="1"/>
  <c r="I47" i="1" s="1"/>
  <c r="I41" i="1"/>
  <c r="N41" i="1" s="1"/>
  <c r="A17" i="1" l="1"/>
  <c r="A18" i="1" s="1"/>
  <c r="D18" i="1"/>
  <c r="D17" i="1"/>
  <c r="A19" i="1" l="1"/>
  <c r="A20" i="1" l="1"/>
  <c r="A21" i="1" s="1"/>
  <c r="A22" i="1" l="1"/>
  <c r="A23" i="1" s="1"/>
  <c r="A24" i="1" s="1"/>
  <c r="A25" i="1" l="1"/>
  <c r="D25" i="1"/>
  <c r="D24" i="1"/>
  <c r="A26" i="1" l="1"/>
  <c r="A27" i="1" s="1"/>
  <c r="A28" i="1" l="1"/>
  <c r="A29" i="1" s="1"/>
  <c r="D29" i="1" l="1"/>
  <c r="A30" i="1"/>
  <c r="B5" i="5"/>
  <c r="D30" i="1"/>
  <c r="A31" i="1" l="1"/>
  <c r="D31" i="1"/>
  <c r="A32" i="1" l="1"/>
  <c r="A33" i="1" s="1"/>
  <c r="A34" i="1" s="1"/>
  <c r="D33" i="1"/>
  <c r="A35" i="1" l="1"/>
  <c r="D38" i="1"/>
  <c r="D35" i="1"/>
  <c r="A36" i="1" l="1"/>
  <c r="D36" i="1"/>
  <c r="A37" i="1" l="1"/>
  <c r="A38" i="1" l="1"/>
  <c r="A39" i="1" s="1"/>
  <c r="D39" i="1" l="1"/>
  <c r="A40" i="1"/>
  <c r="D40" i="1"/>
  <c r="D41" i="1" l="1"/>
  <c r="A41" i="1"/>
  <c r="A42" i="1" s="1"/>
  <c r="A43" i="1" l="1"/>
  <c r="A44" i="1" s="1"/>
  <c r="D45" i="1" l="1"/>
  <c r="A45" i="1"/>
  <c r="A46" i="1" l="1"/>
  <c r="D46" i="1"/>
  <c r="D47" i="1" l="1"/>
  <c r="A47" i="1"/>
</calcChain>
</file>

<file path=xl/sharedStrings.xml><?xml version="1.0" encoding="utf-8"?>
<sst xmlns="http://schemas.openxmlformats.org/spreadsheetml/2006/main" count="168" uniqueCount="143">
  <si>
    <t>US Ecology Washington, Inc.</t>
  </si>
  <si>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</si>
  <si>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</si>
  <si>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</si>
  <si>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</si>
  <si>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</si>
  <si>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</si>
  <si>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</si>
  <si>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Containers</t>
  </si>
  <si>
    <t>Dose Rate</t>
  </si>
  <si>
    <t>TOTAL</t>
  </si>
  <si>
    <t>Overall end-of-year collection/(refund) due to SAC true-up</t>
  </si>
  <si>
    <t>Settlement § 4(a)</t>
  </si>
  <si>
    <t>Revenue</t>
  </si>
  <si>
    <t>Expenses</t>
  </si>
  <si>
    <t>Net revenue</t>
  </si>
  <si>
    <t>Generators’ share of NORM/NARM net revenue</t>
  </si>
  <si>
    <t>Settlement § 2(a)</t>
  </si>
  <si>
    <t>Generators’ share of net revenue, by rate component</t>
  </si>
  <si>
    <t>Amount to be refunded to generators</t>
  </si>
  <si>
    <t>WUTC regulatory fee to be refunded</t>
  </si>
  <si>
    <t>SAC underrecovery to be allocated to other rate components</t>
  </si>
  <si>
    <t>Calculation Sheet 2</t>
  </si>
  <si>
    <t>Allocators for SAC underrecovery</t>
  </si>
  <si>
    <t>Exhibit 5</t>
  </si>
  <si>
    <t>“Safety Margin”</t>
  </si>
  <si>
    <t>Settlement § 1(c)</t>
  </si>
  <si>
    <t>Settlement § 1(c)(2)</t>
  </si>
  <si>
    <t>Calculation Sheet 3</t>
  </si>
  <si>
    <t>Block No.</t>
  </si>
  <si>
    <t>Dose Rate at Container Surface</t>
  </si>
  <si>
    <t>Column Number:</t>
  </si>
  <si>
    <t>1</t>
  </si>
  <si>
    <t>2</t>
  </si>
  <si>
    <t>3</t>
  </si>
  <si>
    <t>4</t>
  </si>
  <si>
    <t>5</t>
  </si>
  <si>
    <t>6</t>
  </si>
  <si>
    <t>Source:</t>
  </si>
  <si>
    <t>Tariff Sheet* Schedule A, B.4</t>
  </si>
  <si>
    <t>Division of each block by previous</t>
  </si>
  <si>
    <t>Set such that Column 5 will equal Column 3</t>
  </si>
  <si>
    <t>Column 1 x Column 4</t>
  </si>
  <si>
    <t>Less than or equal to 200 mR/h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</si>
  <si>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</si>
  <si>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</si>
  <si>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</si>
  <si>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</si>
  <si>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Total</t>
  </si>
  <si>
    <t>* “Tariff Sheet” refers to the tariff sheets entitled “US Ecology Washington, Inc., Washington Nuclear Center, Radioactive Waste Disposal,” filed with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</si>
  <si>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</si>
  <si>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</si>
  <si>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Inputs to SAC Calculation</t>
  </si>
  <si>
    <t>Characteristics for Year</t>
  </si>
  <si>
    <t>Column 1  x  Column 5</t>
  </si>
  <si>
    <t>No site use at all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</si>
  <si>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</si>
  <si>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</si>
  <si>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</si>
  <si>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</si>
  <si>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</si>
  <si>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</si>
  <si>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</si>
  <si>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</si>
  <si>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</si>
  <si>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</si>
  <si>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</si>
  <si>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Underrecovery to be spread to other rate components pursuant to Settlement* § 2(b)(3), flush language</t>
  </si>
  <si>
    <t>†† For purposes of determining the Site Availability Charge, R per hour is calculated by summing the R per hour at container surface for all containers received during the year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</si>
  <si>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</si>
  <si>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</si>
  <si>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</si>
  <si>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</si>
  <si>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</si>
  <si>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</si>
  <si>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</si>
  <si>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** Calculated to ensure compliance with Settlement § 2(b)(3)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</si>
  <si>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</si>
  <si>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</si>
  <si>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</si>
  <si>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</si>
  <si>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</si>
  <si>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</si>
  <si>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</si>
  <si>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</si>
  <si>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</si>
  <si>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Inflation Index</t>
  </si>
  <si>
    <t>Revenue requirement subject to Inflation Index, inflated</t>
  </si>
  <si>
    <t>Exhibit 1</t>
  </si>
  <si>
    <t>Exhibit 2</t>
  </si>
  <si>
    <t>Exhibit 3</t>
  </si>
  <si>
    <t>Exhibit 4 (Table 1.1.9 thereon)</t>
  </si>
  <si>
    <t>Exhibit 6</t>
  </si>
  <si>
    <t xml:space="preserve">   “Settlement” refers to the Settlement Agreement executed as of April 30, 2007 between US Ecology Washington, Inc., and the Settling Parties, accepted by the Washington</t>
  </si>
  <si>
    <t xml:space="preserve">        Utilities and Transportation Commission in Docket No. TL-070848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</si>
  <si>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</si>
  <si>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* “Settlement” refers to the Settlement Agreement executed as of April 30, 2007 between US Ecology Washington, Inc., and the Settling Parties, accepted</t>
  </si>
  <si>
    <t>Column 2 + Column 4 (except block No. 10 &amp; block No. 11; see footnote)</t>
  </si>
  <si>
    <t xml:space="preserve">         x 1.0096 [the 2011 Inflation Index] x 1.0213 [the 2012 Inflation Index] x 1.0178 [the 2013 Inflation Index] x 1.0151 [the 2014 Inflation Index] x 1.0146 [the 2015 Inflation Index]</t>
  </si>
  <si>
    <t>Gross domestic product implicit price deflator, 2016</t>
  </si>
  <si>
    <t>Revenue requirement for 2017, before WUTC fee and deferrals</t>
  </si>
  <si>
    <t>Allocators for 2017</t>
  </si>
  <si>
    <t xml:space="preserve">‡ Checked to ensure compliance with Settlement § 2(b)(3)(ii); the maximum charge for 2017 is $5,200,000 x 0.024 x 1.0217 [the 2009 Inflation Index] x 1.0118 [the 2010 Inflation Index] </t>
  </si>
  <si>
    <t>2017 Dose Rate Charge</t>
  </si>
  <si>
    <t>Final Calculation of 2018 Rates</t>
  </si>
  <si>
    <t>Revenue requirement by rate component for 2017</t>
  </si>
  <si>
    <t>2017 FCS 1, line 37</t>
  </si>
  <si>
    <t>Revenue by rate component in 2017</t>
  </si>
  <si>
    <t>Revenue in 2017, including effect of SAC true-up</t>
  </si>
  <si>
    <t>Revenue surplus/(deficit) for 2017</t>
  </si>
  <si>
    <t>Calculation of 2017 NORM/NARM net revenue</t>
  </si>
  <si>
    <t>Amount to be added to 2018 revenue requirement</t>
  </si>
  <si>
    <t>2017 FCS 1, line 27</t>
  </si>
  <si>
    <t>Gross domestic product implicit price deflator, 2017</t>
  </si>
  <si>
    <t>Revenue requirement for 2018, before WUTC fee and deferrals</t>
  </si>
  <si>
    <t>Revenue requirement for 2018, before deferrals from 2017</t>
  </si>
  <si>
    <t>Allocators for 2018</t>
  </si>
  <si>
    <t>Allocated revenue requirement for 2018, before deferrals from 2017</t>
  </si>
  <si>
    <t>Allocated revenue requirement for 2018, including deferrals from 2017</t>
  </si>
  <si>
    <t>Final Calculation of 2018 Site Availability Charge (SAC)</t>
  </si>
  <si>
    <t>2018 Projected Generators in Block</t>
  </si>
  <si>
    <t>2017 SAC</t>
  </si>
  <si>
    <t>Ratio of Each 2017 Block Charge to that of the Previous Block</t>
  </si>
  <si>
    <t>2018 SAC (2017 SAC plus Maximum Increase)‡</t>
  </si>
  <si>
    <t>Ratio of Each 2018 Block Charge to that of the Previous Block**</t>
  </si>
  <si>
    <t>2018 Projected Revenues from SAC</t>
  </si>
  <si>
    <t xml:space="preserve">        Transportation Commission in Docket No. TL-170217</t>
  </si>
  <si>
    <t xml:space="preserve">         x 1.0100 [the 2016 Inflation Index] x 1.0131 [the 2017 Inflation Index] x 1.0180 [the 2018 Inflation Index] or $145,252 for 2018.  Block No. 10 and Block No. 11 are affected by this provision in 2018</t>
  </si>
  <si>
    <t>Allocated SAC underrecovery for 2018</t>
  </si>
  <si>
    <t>Allocated revenue requirement for 2018, including SAC reallocation</t>
  </si>
  <si>
    <t>Revenue requirement for 2018</t>
  </si>
  <si>
    <t>Projections for 2018</t>
  </si>
  <si>
    <t>Dose rate revenue requirement for 2018</t>
  </si>
  <si>
    <t>Billing determinants for 2018 rates</t>
  </si>
  <si>
    <t>Rates for 2018, before rounding</t>
  </si>
  <si>
    <t>Rates for 2018, rounded</t>
  </si>
  <si>
    <t>* “2017 FCS” refers to US Ecology Washington, Inc., “Final Calculation of 2017 Rates, Calculation Sheet,” filed with the Washington Utilities and Transportation Commission in Docket No. TL-170217</t>
  </si>
  <si>
    <t>Final Calculation of 2018 Dose Rate Charge</t>
  </si>
  <si>
    <t>2018 Projected Containers in Block</t>
  </si>
  <si>
    <t>2018 Dose Rate Charge</t>
  </si>
  <si>
    <t>Ratio of Each 2018 Block Charge to that of the Previous Block†</t>
  </si>
  <si>
    <t>2018 Projected Revenues from Dose Rate Charge</t>
  </si>
  <si>
    <t xml:space="preserve">        Utilities and Transportation Commission in Docket No. TL-170217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</si>
</sst>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3" x14ac:knownFonts="1">
    <font>
      <sz val="10"/>
      <name val="Helv"/>
    </font>
    <font>
      <sz val="10"/>
      <name val="Helv"/>
    </font>
    <font>
      <sz val="8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quotePrefix="1" applyFont="1" applyFill="1" applyBorder="1" applyAlignment="1">
      <alignment horizontal="left"/>
    </xf>
    <xf numFmtId="0" fontId="4" fillId="0" borderId="1" xfId="0" applyFont="1" applyBorder="1"/>
    <xf numFmtId="0" fontId="4" fillId="0" borderId="0" xfId="0" quotePrefix="1" applyFont="1" applyFill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8" fontId="4" fillId="0" borderId="0" xfId="0" applyNumberFormat="1" applyFont="1" applyFill="1"/>
    <xf numFmtId="167" fontId="7" fillId="0" borderId="0" xfId="1" applyNumberFormat="1" applyFont="1"/>
    <xf numFmtId="165" fontId="4" fillId="0" borderId="0" xfId="2" applyNumberFormat="1" applyFont="1"/>
    <xf numFmtId="167" fontId="4" fillId="0" borderId="0" xfId="1" applyNumberFormat="1" applyFont="1"/>
    <xf numFmtId="0" fontId="4" fillId="0" borderId="0" xfId="0" quotePrefix="1" applyFont="1" applyAlignment="1"/>
    <xf numFmtId="167" fontId="4" fillId="0" borderId="0" xfId="0" applyNumberFormat="1" applyFont="1"/>
    <xf numFmtId="0" fontId="4" fillId="0" borderId="0" xfId="0" applyFont="1" applyAlignment="1">
      <alignment horizontal="left"/>
    </xf>
    <xf numFmtId="165" fontId="7" fillId="0" borderId="0" xfId="2" applyNumberFormat="1" applyFont="1"/>
    <xf numFmtId="167" fontId="4" fillId="0" borderId="0" xfId="0" applyNumberFormat="1" applyFont="1" applyBorder="1"/>
    <xf numFmtId="167" fontId="7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quotePrefix="1" applyFont="1" applyAlignment="1"/>
    <xf numFmtId="0" fontId="7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quotePrefix="1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centerContinuous"/>
    </xf>
    <xf numFmtId="0" fontId="7" fillId="0" borderId="0" xfId="0" quotePrefix="1" applyFont="1" applyBorder="1" applyAlignment="1">
      <alignment horizontal="left"/>
    </xf>
    <xf numFmtId="42" fontId="7" fillId="0" borderId="0" xfId="0" applyNumberFormat="1" applyFont="1" applyBorder="1" applyAlignment="1"/>
    <xf numFmtId="0" fontId="3" fillId="0" borderId="0" xfId="0" applyFont="1" applyBorder="1" applyAlignment="1">
      <alignment horizontal="centerContinuous"/>
    </xf>
    <xf numFmtId="0" fontId="5" fillId="0" borderId="3" xfId="0" applyFont="1" applyBorder="1" applyAlignment="1">
      <alignment horizontal="left"/>
    </xf>
    <xf numFmtId="169" fontId="5" fillId="0" borderId="3" xfId="0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quotePrefix="1" applyFont="1" applyBorder="1" applyAlignment="1">
      <alignment horizontal="right" vertical="center"/>
    </xf>
    <xf numFmtId="169" fontId="8" fillId="0" borderId="0" xfId="0" quotePrefix="1" applyNumberFormat="1" applyFont="1" applyBorder="1" applyAlignment="1">
      <alignment horizontal="center" vertical="center" wrapText="1"/>
    </xf>
    <xf numFmtId="169" fontId="9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7" fontId="7" fillId="0" borderId="0" xfId="0" applyNumberFormat="1" applyFont="1"/>
    <xf numFmtId="42" fontId="7" fillId="0" borderId="0" xfId="0" applyNumberFormat="1" applyFont="1"/>
    <xf numFmtId="166" fontId="7" fillId="0" borderId="0" xfId="1" applyNumberFormat="1" applyFont="1" applyAlignment="1"/>
    <xf numFmtId="37" fontId="7" fillId="0" borderId="2" xfId="0" applyNumberFormat="1" applyFont="1" applyBorder="1"/>
    <xf numFmtId="37" fontId="7" fillId="0" borderId="4" xfId="0" applyNumberFormat="1" applyFont="1" applyBorder="1"/>
    <xf numFmtId="42" fontId="7" fillId="0" borderId="4" xfId="0" applyNumberFormat="1" applyFont="1" applyBorder="1"/>
    <xf numFmtId="0" fontId="10" fillId="0" borderId="0" xfId="0" applyFont="1" applyAlignment="1"/>
    <xf numFmtId="0" fontId="11" fillId="0" borderId="3" xfId="0" quotePrefix="1" applyFont="1" applyBorder="1" applyAlignment="1">
      <alignment horizontal="left"/>
    </xf>
    <xf numFmtId="0" fontId="11" fillId="0" borderId="3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168" fontId="7" fillId="0" borderId="0" xfId="0" applyNumberFormat="1" applyFont="1"/>
    <xf numFmtId="0" fontId="7" fillId="0" borderId="0" xfId="0" applyFont="1" applyBorder="1" applyAlignment="1"/>
    <xf numFmtId="170" fontId="7" fillId="0" borderId="0" xfId="0" applyNumberFormat="1" applyFont="1" applyBorder="1" applyAlignment="1"/>
    <xf numFmtId="0" fontId="4" fillId="0" borderId="0" xfId="0" applyFont="1" applyAlignment="1"/>
    <xf numFmtId="0" fontId="11" fillId="0" borderId="0" xfId="0" applyFont="1" applyBorder="1" applyAlignment="1">
      <alignment horizontal="center" wrapText="1"/>
    </xf>
    <xf numFmtId="37" fontId="7" fillId="0" borderId="0" xfId="0" applyNumberFormat="1" applyFont="1" applyAlignment="1"/>
    <xf numFmtId="165" fontId="7" fillId="0" borderId="0" xfId="2" applyNumberFormat="1" applyFont="1" applyAlignment="1"/>
    <xf numFmtId="43" fontId="7" fillId="0" borderId="0" xfId="1" applyNumberFormat="1" applyFont="1" applyAlignment="1"/>
    <xf numFmtId="167" fontId="7" fillId="0" borderId="0" xfId="1" applyNumberFormat="1" applyFont="1" applyAlignment="1"/>
    <xf numFmtId="37" fontId="7" fillId="0" borderId="0" xfId="0" applyNumberFormat="1" applyFont="1" applyBorder="1" applyAlignment="1"/>
    <xf numFmtId="37" fontId="7" fillId="0" borderId="2" xfId="0" applyNumberFormat="1" applyFont="1" applyBorder="1" applyAlignment="1"/>
    <xf numFmtId="167" fontId="7" fillId="0" borderId="2" xfId="1" applyNumberFormat="1" applyFont="1" applyBorder="1" applyAlignment="1"/>
    <xf numFmtId="37" fontId="7" fillId="0" borderId="4" xfId="0" applyNumberFormat="1" applyFont="1" applyBorder="1" applyAlignment="1"/>
    <xf numFmtId="42" fontId="7" fillId="0" borderId="4" xfId="0" applyNumberFormat="1" applyFont="1" applyBorder="1" applyAlignment="1"/>
    <xf numFmtId="170" fontId="7" fillId="0" borderId="0" xfId="0" applyNumberFormat="1" applyFont="1" applyAlignment="1"/>
    <xf numFmtId="42" fontId="7" fillId="0" borderId="0" xfId="0" applyNumberFormat="1" applyFont="1" applyAlignment="1"/>
    <xf numFmtId="10" fontId="7" fillId="0" borderId="0" xfId="0" applyNumberFormat="1" applyFont="1" applyBorder="1" applyAlignment="1"/>
    <xf numFmtId="10" fontId="7" fillId="0" borderId="0" xfId="3" applyNumberFormat="1" applyFont="1" applyBorder="1" applyAlignment="1"/>
    <xf numFmtId="167" fontId="4" fillId="0" borderId="2" xfId="0" applyNumberFormat="1" applyFont="1" applyBorder="1"/>
    <xf numFmtId="0" fontId="12" fillId="0" borderId="0" xfId="0" applyFont="1"/>
    <xf numFmtId="10" fontId="4" fillId="0" borderId="0" xfId="3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9" fontId="4" fillId="0" borderId="0" xfId="3" applyFont="1"/>
    <xf numFmtId="44" fontId="4" fillId="0" borderId="0" xfId="2" applyFont="1"/>
    <xf numFmtId="0" fontId="4" fillId="0" borderId="0" xfId="0" quotePrefix="1" applyFont="1" applyBorder="1" applyAlignment="1">
      <alignment horizontal="left"/>
    </xf>
    <xf numFmtId="169" fontId="9" fillId="0" borderId="0" xfId="0" applyNumberFormat="1" applyFont="1" applyBorder="1" applyAlignment="1">
      <alignment horizontal="center" vertical="center" wrapText="1"/>
    </xf>
    <xf numFmtId="171" fontId="4" fillId="0" borderId="0" xfId="1" applyNumberFormat="1" applyFont="1"/>
    <xf numFmtId="165" fontId="4" fillId="0" borderId="0" xfId="2" applyNumberFormat="1" applyFont="1" applyAlignment="1"/>
    <xf numFmtId="167" fontId="4" fillId="0" borderId="0" xfId="1" applyNumberFormat="1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Tray-Rate%20Analyst/May%202008%20Rate%20Filing/2008FinalCalc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Tray-Rate%20Analyst/January%202009%20Rate%20Filing/Copy%20of%202009PrelimCalc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SAC"/>
      <sheetName val="Dose Rat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topLeftCell="A25" workbookViewId="0">
      <selection activeCell="F27" sqref="F27"/>
    </sheetView>
  </sheetViews>
  <sheetFormatPr defaultRowHeight="12.75" x14ac:dyDescent="0.2"/>
  <cols>
    <col min="1" max="1" width="4.7109375" style="2" customWidth="1"/>
    <col min="2" max="2" width="1.7109375" style="2" customWidth="1"/>
    <col min="3" max="3" width="56.7109375" style="2" customWidth="1"/>
    <col min="4" max="4" width="24.7109375" style="2" customWidth="1"/>
    <col min="5" max="5" width="1.7109375" style="2" customWidth="1"/>
    <col min="6" max="6" width="11.7109375" style="2" customWidth="1"/>
    <col min="7" max="7" width="1.7109375" style="2" customWidth="1"/>
    <col min="8" max="12" width="11.7109375" style="2" customWidth="1"/>
    <col min="13" max="13" width="1.7109375" style="2" customWidth="1"/>
    <col min="14" max="14" width="11.28515625" style="2" customWidth="1"/>
    <col min="15" max="16384" width="9.140625" style="2"/>
  </cols>
  <sheetData>
    <row r="1" spans="1:14" ht="15.75" x14ac:dyDescent="0.25">
      <c r="A1" s="1" t="s">
        <v>0</v>
      </c>
      <c r="N1" s="3" t="s">
        <v>1</v>
      </c>
    </row>
    <row r="2" spans="1:14" ht="16.5" thickBot="1" x14ac:dyDescent="0.3">
      <c r="A2" s="4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7"/>
      <c r="C3" s="7"/>
      <c r="D3" s="7"/>
      <c r="E3" s="7"/>
      <c r="H3" s="8" t="s">
        <v>2</v>
      </c>
      <c r="I3" s="9"/>
      <c r="J3" s="9"/>
      <c r="K3" s="9"/>
      <c r="L3" s="9"/>
      <c r="M3" s="9"/>
      <c r="N3" s="10"/>
    </row>
    <row r="4" spans="1:14" ht="30" customHeight="1" thickBot="1" x14ac:dyDescent="0.25">
      <c r="A4" s="6"/>
      <c r="B4" s="7"/>
      <c r="C4" s="7"/>
      <c r="D4" s="11" t="s">
        <v>3</v>
      </c>
      <c r="F4" s="11" t="s">
        <v>4</v>
      </c>
      <c r="H4" s="11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N4" s="12" t="s">
        <v>10</v>
      </c>
    </row>
    <row r="5" spans="1:14" ht="15.75" customHeight="1" x14ac:dyDescent="0.2">
      <c r="A5" s="13">
        <v>1</v>
      </c>
      <c r="B5" s="7" t="s">
        <v>105</v>
      </c>
      <c r="D5" s="7" t="s">
        <v>106</v>
      </c>
      <c r="H5" s="16">
        <v>639443</v>
      </c>
      <c r="I5" s="16">
        <v>2174145.4020669665</v>
      </c>
      <c r="J5" s="16">
        <v>837752.40753533342</v>
      </c>
      <c r="K5" s="16">
        <v>1548969.0431784738</v>
      </c>
      <c r="L5" s="16">
        <v>1029971.3913085733</v>
      </c>
      <c r="M5" s="15"/>
      <c r="N5" s="16">
        <f>SUM(H5:L5)</f>
        <v>6230281.2440893464</v>
      </c>
    </row>
    <row r="6" spans="1:14" ht="14.1" customHeight="1" x14ac:dyDescent="0.2">
      <c r="A6" s="13">
        <f t="shared" ref="A6:A47" si="0">A5+1</f>
        <v>2</v>
      </c>
      <c r="B6" s="7" t="s">
        <v>107</v>
      </c>
      <c r="D6" s="2" t="s">
        <v>88</v>
      </c>
      <c r="H6" s="16">
        <v>702075</v>
      </c>
      <c r="I6" s="16">
        <v>1635049.49</v>
      </c>
      <c r="J6" s="16">
        <v>508830</v>
      </c>
      <c r="K6" s="16">
        <v>992510</v>
      </c>
      <c r="L6" s="16">
        <v>529387</v>
      </c>
      <c r="M6" s="16"/>
      <c r="N6" s="16">
        <f>SUM(H6:L6)</f>
        <v>4367851.49</v>
      </c>
    </row>
    <row r="7" spans="1:14" ht="14.1" customHeight="1" x14ac:dyDescent="0.2">
      <c r="A7" s="13">
        <f t="shared" si="0"/>
        <v>3</v>
      </c>
      <c r="B7" s="7" t="s">
        <v>11</v>
      </c>
      <c r="D7" s="2" t="s">
        <v>89</v>
      </c>
      <c r="H7" s="16">
        <v>-80669</v>
      </c>
      <c r="N7" s="16">
        <f>SUM(H7:L7)</f>
        <v>-80669</v>
      </c>
    </row>
    <row r="8" spans="1:14" ht="14.1" customHeight="1" x14ac:dyDescent="0.2">
      <c r="A8" s="13">
        <f t="shared" si="0"/>
        <v>4</v>
      </c>
      <c r="B8" s="7" t="s">
        <v>108</v>
      </c>
      <c r="D8" s="17" t="str">
        <f>"Line "&amp;TEXT(A6,"#")&amp;" + line "&amp;TEXT(A7,"#")</f>
        <v>Line 2 + line 3</v>
      </c>
      <c r="H8" s="18">
        <f>SUM(H6:H7)</f>
        <v>621406</v>
      </c>
      <c r="I8" s="18">
        <f>SUM(I6:I7)</f>
        <v>1635049.49</v>
      </c>
      <c r="J8" s="18">
        <f>SUM(J6:J7)</f>
        <v>508830</v>
      </c>
      <c r="K8" s="18">
        <f>SUM(K6:K7)</f>
        <v>992510</v>
      </c>
      <c r="L8" s="18">
        <f>SUM(L6:L7)</f>
        <v>529387</v>
      </c>
      <c r="M8" s="18"/>
      <c r="N8" s="16">
        <f>SUM(H8:L8)</f>
        <v>4287182.49</v>
      </c>
    </row>
    <row r="9" spans="1:14" ht="14.1" customHeight="1" x14ac:dyDescent="0.2">
      <c r="A9" s="13">
        <f t="shared" si="0"/>
        <v>5</v>
      </c>
      <c r="B9" s="7" t="s">
        <v>109</v>
      </c>
      <c r="D9" s="17" t="str">
        <f>"Line "&amp;TEXT(A8,"#")&amp;" – line "&amp;TEXT(A5,"#")</f>
        <v>Line 4 – line 1</v>
      </c>
      <c r="H9" s="18">
        <f>H8-H5</f>
        <v>-18037</v>
      </c>
      <c r="I9" s="18">
        <f>I8-I5</f>
        <v>-539095.91206696653</v>
      </c>
      <c r="J9" s="18">
        <f>J8-J5</f>
        <v>-328922.40753533342</v>
      </c>
      <c r="K9" s="18">
        <f>K8-K5</f>
        <v>-556459.04317847383</v>
      </c>
      <c r="L9" s="18">
        <f>L8-L5</f>
        <v>-500584.39130857331</v>
      </c>
      <c r="M9" s="18"/>
      <c r="N9" s="16">
        <f>SUM(H9:L9)</f>
        <v>-1943098.7540893471</v>
      </c>
    </row>
    <row r="10" spans="1:14" ht="14.1" customHeight="1" x14ac:dyDescent="0.2">
      <c r="A10" s="13">
        <f t="shared" si="0"/>
        <v>6</v>
      </c>
      <c r="B10" s="19" t="s">
        <v>110</v>
      </c>
      <c r="D10" s="7" t="s">
        <v>12</v>
      </c>
      <c r="H10" s="18"/>
      <c r="I10" s="18"/>
      <c r="J10" s="18"/>
      <c r="K10" s="18"/>
      <c r="L10" s="18"/>
      <c r="M10" s="18"/>
      <c r="N10" s="16"/>
    </row>
    <row r="11" spans="1:14" ht="14.1" customHeight="1" x14ac:dyDescent="0.2">
      <c r="A11" s="13">
        <f t="shared" si="0"/>
        <v>7</v>
      </c>
      <c r="C11" s="19" t="s">
        <v>13</v>
      </c>
      <c r="D11" s="7" t="s">
        <v>90</v>
      </c>
      <c r="F11" s="15">
        <v>193943</v>
      </c>
      <c r="G11" s="15"/>
      <c r="H11" s="18"/>
      <c r="I11" s="18"/>
      <c r="J11" s="18"/>
      <c r="K11" s="18"/>
      <c r="L11" s="18"/>
      <c r="M11" s="18"/>
      <c r="N11" s="16"/>
    </row>
    <row r="12" spans="1:14" ht="14.1" customHeight="1" x14ac:dyDescent="0.2">
      <c r="A12" s="13">
        <f t="shared" si="0"/>
        <v>8</v>
      </c>
      <c r="C12" s="19" t="s">
        <v>14</v>
      </c>
      <c r="D12" s="7" t="s">
        <v>90</v>
      </c>
      <c r="F12" s="77">
        <f>-57404.43-4748.77-35708.99</f>
        <v>-97862.19</v>
      </c>
      <c r="G12" s="21"/>
      <c r="H12" s="18"/>
      <c r="I12" s="18"/>
      <c r="J12" s="18"/>
      <c r="K12" s="18"/>
      <c r="L12" s="18"/>
      <c r="M12" s="18"/>
      <c r="N12" s="16"/>
    </row>
    <row r="13" spans="1:14" ht="14.1" customHeight="1" x14ac:dyDescent="0.2">
      <c r="A13" s="13">
        <f t="shared" si="0"/>
        <v>9</v>
      </c>
      <c r="C13" s="19" t="s">
        <v>15</v>
      </c>
      <c r="D13" s="17" t="str">
        <f>"Line "&amp;TEXT(A11,"#")&amp;" – line "&amp;TEXT(A12,"#")</f>
        <v>Line 7 – line 8</v>
      </c>
      <c r="F13" s="18">
        <f>SUM(F11:F12)</f>
        <v>96080.81</v>
      </c>
      <c r="G13" s="18"/>
      <c r="H13" s="18"/>
      <c r="I13" s="18"/>
      <c r="J13" s="18"/>
      <c r="K13" s="18"/>
      <c r="L13" s="18"/>
      <c r="M13" s="18"/>
      <c r="N13" s="16"/>
    </row>
    <row r="14" spans="1:14" ht="14.1" customHeight="1" x14ac:dyDescent="0.2">
      <c r="A14" s="13">
        <f t="shared" si="0"/>
        <v>10</v>
      </c>
      <c r="C14" s="2" t="s">
        <v>16</v>
      </c>
      <c r="D14" s="17" t="str">
        <f>"Line "&amp;TEXT(A13,"#")&amp;" ÷ 2"</f>
        <v>Line 9 ÷ 2</v>
      </c>
      <c r="F14" s="18">
        <f>F13*0.5</f>
        <v>48040.404999999999</v>
      </c>
      <c r="G14" s="18"/>
      <c r="H14" s="18"/>
      <c r="I14" s="18"/>
      <c r="J14" s="18"/>
      <c r="K14" s="18"/>
      <c r="L14" s="18"/>
      <c r="M14" s="18"/>
      <c r="N14" s="16"/>
    </row>
    <row r="15" spans="1:14" ht="14.1" customHeight="1" x14ac:dyDescent="0.2">
      <c r="A15" s="13">
        <f t="shared" si="0"/>
        <v>11</v>
      </c>
      <c r="B15" s="7"/>
      <c r="C15" s="7" t="s">
        <v>101</v>
      </c>
      <c r="D15" s="7" t="s">
        <v>17</v>
      </c>
      <c r="E15" s="7"/>
      <c r="H15" s="23">
        <v>0.22</v>
      </c>
      <c r="I15" s="23">
        <v>0.316</v>
      </c>
      <c r="J15" s="23">
        <v>0.107</v>
      </c>
      <c r="K15" s="23">
        <v>0.215</v>
      </c>
      <c r="L15" s="23">
        <v>0.14199999999999999</v>
      </c>
      <c r="M15" s="23"/>
      <c r="N15" s="23">
        <f>SUM(H15:M15)</f>
        <v>1</v>
      </c>
    </row>
    <row r="16" spans="1:14" ht="14.1" customHeight="1" x14ac:dyDescent="0.2">
      <c r="A16" s="13">
        <f t="shared" si="0"/>
        <v>12</v>
      </c>
      <c r="C16" s="7" t="s">
        <v>18</v>
      </c>
      <c r="D16" s="17" t="str">
        <f>"Line "&amp;TEXT(A15,"#")&amp;" x line "&amp;TEXT(A14,"#")</f>
        <v>Line 11 x line 10</v>
      </c>
      <c r="H16" s="18">
        <f>$F$14*H$15</f>
        <v>10568.8891</v>
      </c>
      <c r="I16" s="18">
        <f>$F$14*I$15</f>
        <v>15180.767980000001</v>
      </c>
      <c r="J16" s="18">
        <f>$F$14*J$15</f>
        <v>5140.323335</v>
      </c>
      <c r="K16" s="18">
        <f>$F$14*K$15</f>
        <v>10328.687075</v>
      </c>
      <c r="L16" s="18">
        <f>$F$14*L$15</f>
        <v>6821.737509999999</v>
      </c>
      <c r="M16" s="18"/>
      <c r="N16" s="16">
        <f>SUM(H16:L16)</f>
        <v>48040.404999999999</v>
      </c>
    </row>
    <row r="17" spans="1:14" ht="14.1" customHeight="1" x14ac:dyDescent="0.2">
      <c r="A17" s="13">
        <f t="shared" si="0"/>
        <v>13</v>
      </c>
      <c r="B17" s="2" t="s">
        <v>19</v>
      </c>
      <c r="D17" s="17" t="str">
        <f>"Line "&amp;TEXT(A9,"#")&amp;" + line "&amp;TEXT(A16,"#")&amp;" (if positive)"</f>
        <v>Line 5 + line 12 (if positive)</v>
      </c>
      <c r="F17" s="24"/>
      <c r="G17" s="24"/>
      <c r="H17" s="18">
        <f>IF(SUM(H9,H16)&gt;=0,SUM(H9,H16),0)</f>
        <v>0</v>
      </c>
      <c r="I17" s="18">
        <f>IF(SUM(I9,I16)&gt;=0,SUM(I9,I16),0)</f>
        <v>0</v>
      </c>
      <c r="J17" s="18">
        <f>IF(SUM(J9,J16)&gt;=0,SUM(J9,J16),0)</f>
        <v>0</v>
      </c>
      <c r="K17" s="18">
        <f>IF(SUM(K9,K16)&gt;=0,SUM(K9,K16),0)</f>
        <v>0</v>
      </c>
      <c r="L17" s="18">
        <f>IF(SUM(L9,L16)&gt;=0,SUM(L9,L16),0)</f>
        <v>0</v>
      </c>
      <c r="M17" s="18"/>
      <c r="N17" s="16">
        <f>SUM(H17:L17)</f>
        <v>0</v>
      </c>
    </row>
    <row r="18" spans="1:14" ht="14.1" customHeight="1" x14ac:dyDescent="0.2">
      <c r="A18" s="13">
        <f t="shared" si="0"/>
        <v>14</v>
      </c>
      <c r="B18" s="7" t="s">
        <v>111</v>
      </c>
      <c r="D18" s="17" t="str">
        <f>"Line "&amp;TEXT(A9,"#")&amp;" + line "&amp;TEXT(A16,"#")&amp;" (if negative)"</f>
        <v>Line 5 + line 12 (if negative)</v>
      </c>
      <c r="H18" s="18">
        <f>IF(SUM(H9,H16)&lt;0,-SUM(H9,H16),0)</f>
        <v>7468.1108999999997</v>
      </c>
      <c r="I18" s="18">
        <f>IF(SUM(I9,I16)&lt;0,-SUM(I9,I16),0)</f>
        <v>523915.14408696652</v>
      </c>
      <c r="J18" s="18">
        <f>IF(SUM(J9,J16)&lt;0,-SUM(J9,J16),0)</f>
        <v>323782.0842003334</v>
      </c>
      <c r="K18" s="18">
        <f>IF(SUM(K9,K16)&lt;0,-SUM(K9,K16),0)</f>
        <v>546130.35610347381</v>
      </c>
      <c r="L18" s="18">
        <f>IF(SUM(L9,L16)&lt;0,-SUM(L9,L16),0)</f>
        <v>493762.6537985733</v>
      </c>
      <c r="M18" s="18"/>
      <c r="N18" s="16">
        <f>SUM(H18:L18)</f>
        <v>1895058.3490893468</v>
      </c>
    </row>
    <row r="19" spans="1:14" ht="14.1" customHeight="1" x14ac:dyDescent="0.2">
      <c r="A19" s="13">
        <f t="shared" si="0"/>
        <v>15</v>
      </c>
      <c r="B19" s="7" t="s">
        <v>100</v>
      </c>
      <c r="D19" s="7" t="s">
        <v>112</v>
      </c>
      <c r="E19" s="26"/>
      <c r="F19" s="26"/>
      <c r="G19" s="26"/>
      <c r="H19" s="22"/>
      <c r="I19" s="22"/>
      <c r="J19" s="22"/>
      <c r="K19" s="22"/>
      <c r="L19" s="22"/>
      <c r="M19" s="22"/>
      <c r="N19" s="14">
        <v>5917140</v>
      </c>
    </row>
    <row r="20" spans="1:14" ht="14.1" customHeight="1" x14ac:dyDescent="0.2">
      <c r="A20" s="13">
        <f t="shared" si="0"/>
        <v>16</v>
      </c>
      <c r="B20" s="7" t="s">
        <v>77</v>
      </c>
      <c r="D20" s="7" t="s">
        <v>78</v>
      </c>
    </row>
    <row r="21" spans="1:14" ht="14.1" customHeight="1" x14ac:dyDescent="0.2">
      <c r="A21" s="13">
        <f t="shared" si="0"/>
        <v>17</v>
      </c>
      <c r="C21" s="7" t="s">
        <v>79</v>
      </c>
      <c r="D21" s="19" t="s">
        <v>80</v>
      </c>
      <c r="F21" s="15">
        <v>89513</v>
      </c>
      <c r="G21" s="15"/>
    </row>
    <row r="22" spans="1:14" ht="14.1" customHeight="1" x14ac:dyDescent="0.2">
      <c r="A22" s="13">
        <f t="shared" si="0"/>
        <v>18</v>
      </c>
      <c r="C22" s="2" t="s">
        <v>81</v>
      </c>
      <c r="D22" s="19" t="s">
        <v>80</v>
      </c>
      <c r="F22" s="18">
        <v>14983</v>
      </c>
      <c r="G22" s="18"/>
    </row>
    <row r="23" spans="1:14" ht="14.1" customHeight="1" x14ac:dyDescent="0.2">
      <c r="A23" s="13">
        <f t="shared" si="0"/>
        <v>19</v>
      </c>
      <c r="C23" s="7" t="s">
        <v>82</v>
      </c>
      <c r="D23" s="19" t="s">
        <v>80</v>
      </c>
      <c r="F23" s="77">
        <v>91729</v>
      </c>
      <c r="G23" s="21"/>
    </row>
    <row r="24" spans="1:14" ht="14.1" customHeight="1" x14ac:dyDescent="0.2">
      <c r="A24" s="13">
        <f t="shared" si="0"/>
        <v>20</v>
      </c>
      <c r="C24" s="7" t="s">
        <v>83</v>
      </c>
      <c r="D24" s="17" t="str">
        <f>"Sum of lines "&amp;TEXT(A21,"#")&amp;"–"&amp;TEXT(A23,"#")</f>
        <v>Sum of lines 17–19</v>
      </c>
      <c r="E24" s="78"/>
      <c r="F24" s="24">
        <f>SUM(F21:F23)</f>
        <v>196225</v>
      </c>
      <c r="G24" s="24"/>
    </row>
    <row r="25" spans="1:14" ht="14.1" customHeight="1" x14ac:dyDescent="0.2">
      <c r="A25" s="13">
        <f t="shared" si="0"/>
        <v>21</v>
      </c>
      <c r="B25" s="7" t="s">
        <v>84</v>
      </c>
      <c r="D25" s="17" t="str">
        <f>"Line "&amp;TEXT(A19,"#")&amp;" – line "&amp;TEXT(A24,"#")</f>
        <v>Line 15 – line 20</v>
      </c>
      <c r="N25" s="18">
        <f>N19-F24</f>
        <v>5720915</v>
      </c>
    </row>
    <row r="26" spans="1:14" ht="14.1" customHeight="1" x14ac:dyDescent="0.2">
      <c r="A26" s="13">
        <f t="shared" si="0"/>
        <v>22</v>
      </c>
      <c r="B26" s="7" t="s">
        <v>85</v>
      </c>
      <c r="D26" s="7" t="s">
        <v>78</v>
      </c>
    </row>
    <row r="27" spans="1:14" ht="14.1" customHeight="1" x14ac:dyDescent="0.2">
      <c r="A27" s="13">
        <f t="shared" si="0"/>
        <v>23</v>
      </c>
      <c r="C27" s="7" t="s">
        <v>113</v>
      </c>
      <c r="D27" s="19" t="s">
        <v>91</v>
      </c>
      <c r="E27" s="7"/>
      <c r="F27" s="86">
        <v>113.419</v>
      </c>
    </row>
    <row r="28" spans="1:14" ht="14.1" customHeight="1" x14ac:dyDescent="0.2">
      <c r="A28" s="13">
        <f t="shared" si="0"/>
        <v>24</v>
      </c>
      <c r="C28" s="7" t="s">
        <v>99</v>
      </c>
      <c r="D28" s="19" t="s">
        <v>91</v>
      </c>
      <c r="E28" s="7"/>
      <c r="F28" s="86">
        <v>111.416</v>
      </c>
    </row>
    <row r="29" spans="1:14" ht="14.1" customHeight="1" x14ac:dyDescent="0.2">
      <c r="A29" s="13">
        <f t="shared" si="0"/>
        <v>25</v>
      </c>
      <c r="C29" s="7" t="s">
        <v>86</v>
      </c>
      <c r="D29" s="17" t="str">
        <f>"(Line "&amp;TEXT(A27,"#")&amp;" ÷ line "&amp;TEXT(A28,"#")&amp;") – 1"</f>
        <v>(Line 23 ÷ line 24) – 1</v>
      </c>
      <c r="F29" s="79">
        <f>(F27/F28)-1</f>
        <v>1.7977669275508035E-2</v>
      </c>
      <c r="G29" s="79"/>
      <c r="H29" s="79"/>
    </row>
    <row r="30" spans="1:14" ht="14.1" customHeight="1" x14ac:dyDescent="0.2">
      <c r="A30" s="13">
        <f t="shared" si="0"/>
        <v>26</v>
      </c>
      <c r="B30" s="7" t="s">
        <v>87</v>
      </c>
      <c r="D30" s="17" t="str">
        <f>"Line "&amp;TEXT(A25,"#")&amp;" x (1 + line "&amp;TEXT(A29,"#")&amp;")"</f>
        <v>Line 21 x (1 + line 25)</v>
      </c>
      <c r="N30" s="18">
        <f>N25*(1+F29)</f>
        <v>5823763.7178232931</v>
      </c>
    </row>
    <row r="31" spans="1:14" ht="14.1" customHeight="1" x14ac:dyDescent="0.2">
      <c r="A31" s="13">
        <f t="shared" si="0"/>
        <v>27</v>
      </c>
      <c r="B31" s="7" t="s">
        <v>114</v>
      </c>
      <c r="D31" s="17" t="str">
        <f>"Line "&amp;TEXT(A24,"#")&amp;" + line "&amp;TEXT(A30,"#")</f>
        <v>Line 20 + line 26</v>
      </c>
      <c r="N31" s="18">
        <f>N30+F24</f>
        <v>6019988.7178232931</v>
      </c>
    </row>
    <row r="32" spans="1:14" ht="14.1" customHeight="1" x14ac:dyDescent="0.2">
      <c r="A32" s="13">
        <f t="shared" si="0"/>
        <v>28</v>
      </c>
      <c r="B32" s="7" t="s">
        <v>20</v>
      </c>
      <c r="D32" s="62" t="s">
        <v>24</v>
      </c>
      <c r="N32" s="18">
        <v>43506.52</v>
      </c>
    </row>
    <row r="33" spans="1:14" ht="14.1" customHeight="1" x14ac:dyDescent="0.2">
      <c r="A33" s="13">
        <f t="shared" si="0"/>
        <v>29</v>
      </c>
      <c r="B33" s="80" t="s">
        <v>115</v>
      </c>
      <c r="C33" s="81"/>
      <c r="D33" s="17" t="str">
        <f>"Line "&amp;TEXT(A31,"#")&amp;" – line "&amp;TEXT(A32,"#")</f>
        <v>Line 27 – line 28</v>
      </c>
      <c r="N33" s="18">
        <f>N31-N32</f>
        <v>5976482.1978232935</v>
      </c>
    </row>
    <row r="34" spans="1:14" ht="14.1" customHeight="1" x14ac:dyDescent="0.2">
      <c r="A34" s="13">
        <f t="shared" si="0"/>
        <v>30</v>
      </c>
      <c r="B34" s="7" t="s">
        <v>116</v>
      </c>
      <c r="D34" s="7" t="s">
        <v>17</v>
      </c>
      <c r="H34" s="23">
        <v>0.22</v>
      </c>
      <c r="I34" s="23">
        <v>0.316</v>
      </c>
      <c r="J34" s="23">
        <v>0.107</v>
      </c>
      <c r="K34" s="23">
        <v>0.215</v>
      </c>
      <c r="L34" s="23">
        <v>0.14199999999999999</v>
      </c>
      <c r="M34" s="23"/>
      <c r="N34" s="23">
        <f>SUM(H34:L34)</f>
        <v>1</v>
      </c>
    </row>
    <row r="35" spans="1:14" ht="14.1" customHeight="1" x14ac:dyDescent="0.2">
      <c r="A35" s="13">
        <f t="shared" si="0"/>
        <v>31</v>
      </c>
      <c r="B35" s="7" t="s">
        <v>117</v>
      </c>
      <c r="D35" s="28" t="str">
        <f>"Line "&amp;TEXT(A31,"#")&amp;" x line "&amp;TEXT(A34,"#")</f>
        <v>Line 27 x line 30</v>
      </c>
      <c r="H35" s="18">
        <f>H34*$N$33</f>
        <v>1314826.0835211247</v>
      </c>
      <c r="I35" s="18">
        <f>I34*$N$33</f>
        <v>1888568.3745121607</v>
      </c>
      <c r="J35" s="18">
        <f>J34*$N$33</f>
        <v>639483.5951670924</v>
      </c>
      <c r="K35" s="18">
        <f>K34*$N$33</f>
        <v>1284943.672532008</v>
      </c>
      <c r="L35" s="18">
        <f>L34*$N$33</f>
        <v>848660.47209090763</v>
      </c>
      <c r="M35" s="18"/>
      <c r="N35" s="16">
        <f>SUM(H35:L35)</f>
        <v>5976482.1978232935</v>
      </c>
    </row>
    <row r="36" spans="1:14" ht="13.5" customHeight="1" x14ac:dyDescent="0.2">
      <c r="A36" s="13">
        <f t="shared" si="0"/>
        <v>32</v>
      </c>
      <c r="B36" s="7" t="s">
        <v>118</v>
      </c>
      <c r="D36" s="17" t="str">
        <f>"Line "&amp;TEXT(A18,"#")&amp;" + line "&amp;TEXT(A35,"#")</f>
        <v>Line 14 + line 31</v>
      </c>
      <c r="H36" s="18">
        <f>H35+H18</f>
        <v>1322294.1944211246</v>
      </c>
      <c r="I36" s="18">
        <f>I35+I18</f>
        <v>2412483.5185991274</v>
      </c>
      <c r="J36" s="18">
        <f>J35+J18</f>
        <v>963265.67936742585</v>
      </c>
      <c r="K36" s="18">
        <f>K35+K18</f>
        <v>1831074.0286354818</v>
      </c>
      <c r="L36" s="18">
        <f>L35+L18</f>
        <v>1342423.125889481</v>
      </c>
      <c r="M36" s="18"/>
      <c r="N36" s="16">
        <f>SUM(H36:L36)</f>
        <v>7871540.5469126413</v>
      </c>
    </row>
    <row r="37" spans="1:14" ht="13.5" customHeight="1" x14ac:dyDescent="0.2">
      <c r="A37" s="13">
        <f t="shared" si="0"/>
        <v>33</v>
      </c>
      <c r="B37" s="7" t="s">
        <v>21</v>
      </c>
      <c r="D37" s="62" t="s">
        <v>22</v>
      </c>
      <c r="H37" s="18">
        <f>SAC!I23</f>
        <v>753505.19442112464</v>
      </c>
      <c r="I37" s="18"/>
      <c r="J37" s="18"/>
      <c r="K37" s="18"/>
      <c r="L37" s="18"/>
      <c r="M37" s="18"/>
      <c r="N37" s="16"/>
    </row>
    <row r="38" spans="1:14" ht="13.5" customHeight="1" x14ac:dyDescent="0.2">
      <c r="A38" s="13">
        <f t="shared" si="0"/>
        <v>34</v>
      </c>
      <c r="B38" s="19" t="s">
        <v>23</v>
      </c>
      <c r="D38" s="17" t="str">
        <f>"Line "&amp;TEXT(A34,"#")&amp;" reallocated without SAC"</f>
        <v>Line 30 reallocated without SAC</v>
      </c>
      <c r="H38" s="18"/>
      <c r="I38" s="23">
        <f>I34/SUM($I$34:$L$34)</f>
        <v>0.40512820512820513</v>
      </c>
      <c r="J38" s="23">
        <f>J34/SUM($I$34:$L$34)</f>
        <v>0.13717948717948716</v>
      </c>
      <c r="K38" s="23">
        <f>K34/SUM($I$34:$L$34)</f>
        <v>0.27564102564102561</v>
      </c>
      <c r="L38" s="23">
        <f>L34/SUM($I$34:$L$34)</f>
        <v>0.18205128205128202</v>
      </c>
      <c r="M38" s="18"/>
      <c r="N38" s="23">
        <f>SUM(I38:L38)</f>
        <v>1</v>
      </c>
    </row>
    <row r="39" spans="1:14" ht="13.5" customHeight="1" x14ac:dyDescent="0.2">
      <c r="A39" s="13">
        <f t="shared" si="0"/>
        <v>35</v>
      </c>
      <c r="B39" s="7" t="s">
        <v>128</v>
      </c>
      <c r="D39" s="28" t="str">
        <f>"Line "&amp;TEXT(A37,"#")&amp;" x line "&amp;TEXT(A38,"#")</f>
        <v>Line 33 x line 34</v>
      </c>
      <c r="H39" s="18"/>
      <c r="I39" s="18">
        <f>$H$37*I38</f>
        <v>305266.20697060949</v>
      </c>
      <c r="J39" s="18">
        <f>$H$37*J38</f>
        <v>103365.45615776964</v>
      </c>
      <c r="K39" s="18">
        <f>$H$37*K38</f>
        <v>207696.94461607921</v>
      </c>
      <c r="L39" s="18">
        <f>$H$37*L38</f>
        <v>137176.58667666625</v>
      </c>
      <c r="M39" s="18"/>
      <c r="N39" s="16">
        <f>SUM(H39:L39)</f>
        <v>753505.19442112464</v>
      </c>
    </row>
    <row r="40" spans="1:14" ht="13.5" customHeight="1" x14ac:dyDescent="0.2">
      <c r="A40" s="13">
        <f t="shared" si="0"/>
        <v>36</v>
      </c>
      <c r="B40" s="7" t="s">
        <v>129</v>
      </c>
      <c r="D40" s="17" t="str">
        <f>"Line "&amp;TEXT(A36,"#")&amp;" + line "&amp;TEXT(A39,"#")</f>
        <v>Line 32 + line 35</v>
      </c>
      <c r="H40" s="18"/>
      <c r="I40" s="18">
        <f>I36+I39</f>
        <v>2717749.7255697371</v>
      </c>
      <c r="J40" s="18">
        <f>J36+J39</f>
        <v>1066631.1355251954</v>
      </c>
      <c r="K40" s="18">
        <f>K36+K39</f>
        <v>2038770.9732515612</v>
      </c>
      <c r="L40" s="18">
        <f>L36+L39</f>
        <v>1479599.7125661473</v>
      </c>
      <c r="M40" s="18"/>
      <c r="N40" s="16"/>
    </row>
    <row r="41" spans="1:14" ht="13.5" customHeight="1" x14ac:dyDescent="0.2">
      <c r="A41" s="13">
        <f t="shared" si="0"/>
        <v>37</v>
      </c>
      <c r="B41" s="7" t="s">
        <v>130</v>
      </c>
      <c r="D41" s="17" t="str">
        <f>"Calculation Sheet 2 and line "&amp;TEXT(A40,"#")</f>
        <v>Calculation Sheet 2 and line 36</v>
      </c>
      <c r="H41" s="18">
        <f>SAC!I22</f>
        <v>568789</v>
      </c>
      <c r="I41" s="18">
        <f>I40</f>
        <v>2717749.7255697371</v>
      </c>
      <c r="J41" s="18">
        <f>J40</f>
        <v>1066631.1355251954</v>
      </c>
      <c r="K41" s="18">
        <f>K40</f>
        <v>2038770.9732515612</v>
      </c>
      <c r="L41" s="18">
        <f>N33*0.142+L39+L18</f>
        <v>1479599.7125661471</v>
      </c>
      <c r="M41" s="18"/>
      <c r="N41" s="16">
        <f>SUM(H41:L41)</f>
        <v>7871540.5469126403</v>
      </c>
    </row>
    <row r="42" spans="1:14" ht="13.5" customHeight="1" x14ac:dyDescent="0.2">
      <c r="A42" s="13">
        <f t="shared" si="0"/>
        <v>38</v>
      </c>
      <c r="B42" s="7" t="s">
        <v>131</v>
      </c>
      <c r="D42" s="7" t="s">
        <v>92</v>
      </c>
      <c r="I42" s="18">
        <v>22317.200000000001</v>
      </c>
      <c r="J42" s="18">
        <v>91</v>
      </c>
      <c r="K42" s="18">
        <v>247</v>
      </c>
    </row>
    <row r="43" spans="1:14" ht="13.5" customHeight="1" x14ac:dyDescent="0.2">
      <c r="A43" s="13">
        <f t="shared" si="0"/>
        <v>39</v>
      </c>
      <c r="B43" s="7" t="s">
        <v>25</v>
      </c>
      <c r="D43" s="7" t="s">
        <v>26</v>
      </c>
      <c r="I43" s="82">
        <v>0.8</v>
      </c>
      <c r="J43" s="82">
        <v>0.8</v>
      </c>
      <c r="K43" s="82">
        <v>0.8</v>
      </c>
      <c r="L43" s="82">
        <v>0.8</v>
      </c>
    </row>
    <row r="44" spans="1:14" ht="13.5" customHeight="1" x14ac:dyDescent="0.2">
      <c r="A44" s="13">
        <f t="shared" si="0"/>
        <v>40</v>
      </c>
      <c r="B44" s="7" t="s">
        <v>132</v>
      </c>
      <c r="D44" s="7" t="s">
        <v>27</v>
      </c>
      <c r="I44" s="82"/>
      <c r="J44" s="82"/>
      <c r="K44" s="82"/>
      <c r="L44" s="18">
        <f>L40/L43</f>
        <v>1849499.640707684</v>
      </c>
      <c r="N44" s="16">
        <f>SUM(H44:L44)</f>
        <v>1849499.640707684</v>
      </c>
    </row>
    <row r="45" spans="1:14" ht="13.5" customHeight="1" x14ac:dyDescent="0.2">
      <c r="A45" s="13">
        <f t="shared" si="0"/>
        <v>41</v>
      </c>
      <c r="B45" s="7" t="s">
        <v>133</v>
      </c>
      <c r="D45" s="17" t="str">
        <f>"Line "&amp;TEXT(A42,"#")&amp;" x line "&amp;TEXT(A43,"#")</f>
        <v>Line 38 x line 39</v>
      </c>
      <c r="I45" s="18">
        <f>I42*I43</f>
        <v>17853.760000000002</v>
      </c>
      <c r="J45" s="18">
        <f>J42*J43</f>
        <v>72.8</v>
      </c>
      <c r="K45" s="18">
        <f>K42*K43</f>
        <v>197.60000000000002</v>
      </c>
    </row>
    <row r="46" spans="1:14" ht="13.5" customHeight="1" x14ac:dyDescent="0.2">
      <c r="A46" s="13">
        <f t="shared" si="0"/>
        <v>42</v>
      </c>
      <c r="B46" s="7" t="s">
        <v>134</v>
      </c>
      <c r="D46" s="17" t="str">
        <f>"Line "&amp;TEXT(A40,"#")&amp;" ÷ line "&amp;TEXT(A45,"#")</f>
        <v>Line 36 ÷ line 41</v>
      </c>
      <c r="I46" s="83">
        <f>I40/I45</f>
        <v>152.22282172325251</v>
      </c>
      <c r="J46" s="83">
        <f>J40/J45</f>
        <v>14651.526586884553</v>
      </c>
      <c r="K46" s="83">
        <f>K40/K45</f>
        <v>10317.666868681988</v>
      </c>
    </row>
    <row r="47" spans="1:14" ht="13.5" customHeight="1" x14ac:dyDescent="0.2">
      <c r="A47" s="13">
        <f t="shared" si="0"/>
        <v>43</v>
      </c>
      <c r="B47" s="7" t="s">
        <v>135</v>
      </c>
      <c r="D47" s="17" t="str">
        <f>"Line "&amp;TEXT(A46,"#")&amp;", rounded"</f>
        <v>Line 42, rounded</v>
      </c>
      <c r="I47" s="83">
        <f>ROUND(I46,1)</f>
        <v>152.19999999999999</v>
      </c>
      <c r="J47" s="83">
        <f>ROUND(J46,-1)</f>
        <v>14650</v>
      </c>
      <c r="K47" s="83">
        <f>ROUND(K46,-1)</f>
        <v>10320</v>
      </c>
    </row>
    <row r="48" spans="1:14" ht="30" customHeight="1" x14ac:dyDescent="0.2">
      <c r="A48" s="7" t="s">
        <v>136</v>
      </c>
    </row>
    <row r="49" spans="1:1" x14ac:dyDescent="0.2">
      <c r="A49" s="25" t="s">
        <v>93</v>
      </c>
    </row>
    <row r="50" spans="1:1" x14ac:dyDescent="0.2">
      <c r="A50" s="25" t="s">
        <v>94</v>
      </c>
    </row>
    <row r="51" spans="1:1" x14ac:dyDescent="0.2">
      <c r="A51" s="25" t="s">
        <v>95</v>
      </c>
    </row>
  </sheetData>
  <phoneticPr fontId="2"/>
  <printOptions horizontalCentered="1" gridLinesSet="0"/>
  <pageMargins left="0.25" right="0.25" top="0.5" bottom="0.5" header="0.5" footer="0.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A12" workbookViewId="0">
      <selection activeCell="G22" sqref="G22"/>
    </sheetView>
  </sheetViews>
  <sheetFormatPr defaultColWidth="10.5703125" defaultRowHeight="12.75" x14ac:dyDescent="0.2"/>
  <cols>
    <col min="1" max="1" width="5" style="26" customWidth="1"/>
    <col min="2" max="2" width="80.7109375" style="26" customWidth="1"/>
    <col min="3" max="9" width="11.7109375" style="26" customWidth="1"/>
    <col min="10" max="16384" width="10.5703125" style="26"/>
  </cols>
  <sheetData>
    <row r="1" spans="1:12" ht="15.75" x14ac:dyDescent="0.25">
      <c r="A1" s="30" t="s">
        <v>0</v>
      </c>
      <c r="C1" s="31"/>
      <c r="D1" s="31"/>
      <c r="E1" s="31"/>
      <c r="F1" s="31"/>
      <c r="G1" s="31"/>
      <c r="H1" s="31"/>
      <c r="I1" s="3" t="s">
        <v>22</v>
      </c>
    </row>
    <row r="2" spans="1:12" ht="16.5" thickBot="1" x14ac:dyDescent="0.3">
      <c r="A2" s="32" t="s">
        <v>119</v>
      </c>
      <c r="B2" s="34"/>
      <c r="C2" s="34"/>
      <c r="D2" s="34"/>
      <c r="E2" s="34"/>
      <c r="F2" s="34"/>
      <c r="G2" s="34"/>
      <c r="H2" s="34"/>
      <c r="I2" s="34"/>
    </row>
    <row r="3" spans="1:12" ht="36" customHeight="1" thickTop="1" thickBot="1" x14ac:dyDescent="0.25">
      <c r="B3" s="56" t="s">
        <v>52</v>
      </c>
      <c r="C3" s="57"/>
      <c r="D3" s="58"/>
      <c r="E3" s="58"/>
      <c r="F3" s="58"/>
      <c r="G3" s="58"/>
      <c r="H3" s="58"/>
      <c r="I3" s="58"/>
    </row>
    <row r="4" spans="1:12" ht="15.75" customHeight="1" x14ac:dyDescent="0.2">
      <c r="A4" s="59">
        <v>1</v>
      </c>
      <c r="B4" s="84" t="str">
        <f>"Revenue requirement for 2018 SAC (from Calculation Sheet 1, line "&amp;TEXT('Rate Calculation'!A36,"#")&amp;")"</f>
        <v>Revenue requirement for 2018 SAC (from Calculation Sheet 1, line 32)</v>
      </c>
      <c r="C4" s="36">
        <f>'Rate Calculation'!H36</f>
        <v>1322294.1944211246</v>
      </c>
      <c r="D4" s="60"/>
      <c r="E4" s="61"/>
      <c r="F4" s="61"/>
      <c r="G4" s="61"/>
      <c r="H4" s="61"/>
    </row>
    <row r="5" spans="1:12" x14ac:dyDescent="0.2">
      <c r="A5" s="59">
        <f>A4+1</f>
        <v>2</v>
      </c>
      <c r="B5" s="84" t="str">
        <f>"Inflation Index (from Calculation Sheet 1, line "&amp;TEXT('Rate Calculation'!A29,"#")&amp;")"</f>
        <v>Inflation Index (from Calculation Sheet 1, line 25)</v>
      </c>
      <c r="C5" s="75">
        <f>'Rate Calculation'!F29</f>
        <v>1.7977669275508035E-2</v>
      </c>
      <c r="D5" s="60"/>
      <c r="E5" s="61"/>
      <c r="G5" s="58"/>
      <c r="H5" s="58"/>
      <c r="I5" s="58"/>
    </row>
    <row r="6" spans="1:12" x14ac:dyDescent="0.2">
      <c r="A6" s="59">
        <f>A5+1</f>
        <v>3</v>
      </c>
      <c r="B6" s="84" t="s">
        <v>69</v>
      </c>
      <c r="C6" s="76">
        <f>C5*2</f>
        <v>3.5955338551016069E-2</v>
      </c>
      <c r="D6" s="60"/>
      <c r="E6" s="61"/>
      <c r="G6" s="58"/>
      <c r="H6" s="58"/>
      <c r="I6" s="58"/>
    </row>
    <row r="7" spans="1:12" ht="108" customHeight="1" thickBot="1" x14ac:dyDescent="0.25">
      <c r="A7" s="12" t="s">
        <v>29</v>
      </c>
      <c r="B7" s="39" t="s">
        <v>53</v>
      </c>
      <c r="C7" s="39" t="s">
        <v>120</v>
      </c>
      <c r="D7" s="11" t="s">
        <v>121</v>
      </c>
      <c r="E7" s="11" t="s">
        <v>122</v>
      </c>
      <c r="F7" s="11" t="s">
        <v>70</v>
      </c>
      <c r="G7" s="11" t="s">
        <v>123</v>
      </c>
      <c r="H7" s="11" t="s">
        <v>124</v>
      </c>
      <c r="I7" s="11" t="s">
        <v>125</v>
      </c>
    </row>
    <row r="8" spans="1:12" ht="18" customHeight="1" x14ac:dyDescent="0.2">
      <c r="A8" s="40"/>
      <c r="B8" s="41" t="s">
        <v>31</v>
      </c>
      <c r="C8" s="42" t="s">
        <v>32</v>
      </c>
      <c r="D8" s="42" t="s">
        <v>33</v>
      </c>
      <c r="E8" s="42" t="s">
        <v>34</v>
      </c>
      <c r="F8" s="42" t="s">
        <v>35</v>
      </c>
      <c r="G8" s="42" t="s">
        <v>36</v>
      </c>
      <c r="H8" s="42" t="s">
        <v>37</v>
      </c>
      <c r="I8" s="42" t="s">
        <v>71</v>
      </c>
    </row>
    <row r="9" spans="1:12" ht="69.75" customHeight="1" x14ac:dyDescent="0.2">
      <c r="A9" s="63"/>
      <c r="B9" s="44" t="s">
        <v>38</v>
      </c>
      <c r="C9" s="42" t="s">
        <v>92</v>
      </c>
      <c r="D9" s="46" t="s">
        <v>72</v>
      </c>
      <c r="E9" s="45" t="s">
        <v>40</v>
      </c>
      <c r="F9" s="45" t="s">
        <v>73</v>
      </c>
      <c r="G9" s="45" t="s">
        <v>97</v>
      </c>
      <c r="H9" s="45" t="s">
        <v>40</v>
      </c>
      <c r="I9" s="45" t="s">
        <v>54</v>
      </c>
    </row>
    <row r="10" spans="1:12" ht="19.5" customHeight="1" x14ac:dyDescent="0.2">
      <c r="A10" s="48">
        <v>0</v>
      </c>
      <c r="B10" s="27" t="s">
        <v>55</v>
      </c>
      <c r="C10" s="64">
        <v>37</v>
      </c>
      <c r="D10" s="87">
        <v>289</v>
      </c>
      <c r="E10" s="51"/>
      <c r="F10" s="65">
        <f>ROUND($C$6*D10,0)</f>
        <v>10</v>
      </c>
      <c r="G10" s="65">
        <f t="shared" ref="G10:G19" si="0">D10+F10</f>
        <v>299</v>
      </c>
      <c r="H10" s="51"/>
      <c r="I10" s="65">
        <f t="shared" ref="I10:I21" si="1">C10*G10</f>
        <v>11063</v>
      </c>
    </row>
    <row r="11" spans="1:12" ht="12.75" customHeight="1" x14ac:dyDescent="0.2">
      <c r="A11" s="48">
        <v>1</v>
      </c>
      <c r="B11" s="25" t="s">
        <v>56</v>
      </c>
      <c r="C11" s="64">
        <v>29</v>
      </c>
      <c r="D11" s="88">
        <v>553</v>
      </c>
      <c r="E11" s="66">
        <f t="shared" ref="E11:E21" si="2">D11/D10</f>
        <v>1.9134948096885813</v>
      </c>
      <c r="F11" s="67">
        <f t="shared" ref="F11:F21" si="3">ROUND($C$6*D11,0)</f>
        <v>20</v>
      </c>
      <c r="G11" s="67">
        <f t="shared" si="0"/>
        <v>573</v>
      </c>
      <c r="H11" s="66">
        <f t="shared" ref="H11:H21" si="4">G11/G10</f>
        <v>1.9163879598662208</v>
      </c>
      <c r="I11" s="67">
        <f t="shared" si="1"/>
        <v>16617</v>
      </c>
    </row>
    <row r="12" spans="1:12" ht="12.75" customHeight="1" x14ac:dyDescent="0.2">
      <c r="A12" s="48">
        <v>2</v>
      </c>
      <c r="B12" s="25" t="s">
        <v>57</v>
      </c>
      <c r="C12" s="64">
        <v>14</v>
      </c>
      <c r="D12" s="88">
        <v>1062</v>
      </c>
      <c r="E12" s="66">
        <f t="shared" si="2"/>
        <v>1.9204339963833634</v>
      </c>
      <c r="F12" s="67">
        <f>ROUND($C$6*D12,0)</f>
        <v>38</v>
      </c>
      <c r="G12" s="67">
        <f t="shared" si="0"/>
        <v>1100</v>
      </c>
      <c r="H12" s="66">
        <f t="shared" si="4"/>
        <v>1.9197207678883073</v>
      </c>
      <c r="I12" s="67">
        <f t="shared" si="1"/>
        <v>15400</v>
      </c>
      <c r="J12" s="29"/>
      <c r="K12" s="29"/>
      <c r="L12" s="29"/>
    </row>
    <row r="13" spans="1:12" x14ac:dyDescent="0.2">
      <c r="A13" s="48">
        <v>3</v>
      </c>
      <c r="B13" s="25" t="s">
        <v>58</v>
      </c>
      <c r="C13" s="64">
        <v>6</v>
      </c>
      <c r="D13" s="88">
        <v>2038</v>
      </c>
      <c r="E13" s="66">
        <f t="shared" si="2"/>
        <v>1.9190207156308852</v>
      </c>
      <c r="F13" s="67">
        <f t="shared" si="3"/>
        <v>73</v>
      </c>
      <c r="G13" s="67">
        <f t="shared" si="0"/>
        <v>2111</v>
      </c>
      <c r="H13" s="66">
        <f t="shared" si="4"/>
        <v>1.9190909090909092</v>
      </c>
      <c r="I13" s="67">
        <f t="shared" si="1"/>
        <v>12666</v>
      </c>
      <c r="J13" s="29"/>
      <c r="K13" s="29"/>
      <c r="L13" s="29"/>
    </row>
    <row r="14" spans="1:12" x14ac:dyDescent="0.2">
      <c r="A14" s="48">
        <v>4</v>
      </c>
      <c r="B14" s="25" t="s">
        <v>59</v>
      </c>
      <c r="C14" s="64">
        <v>3</v>
      </c>
      <c r="D14" s="88">
        <v>3913</v>
      </c>
      <c r="E14" s="66">
        <f t="shared" si="2"/>
        <v>1.9200196270853778</v>
      </c>
      <c r="F14" s="67">
        <f t="shared" si="3"/>
        <v>141</v>
      </c>
      <c r="G14" s="67">
        <f t="shared" si="0"/>
        <v>4054</v>
      </c>
      <c r="H14" s="66">
        <f t="shared" si="4"/>
        <v>1.9204168640454762</v>
      </c>
      <c r="I14" s="67">
        <f t="shared" si="1"/>
        <v>12162</v>
      </c>
      <c r="J14" s="29"/>
      <c r="K14" s="29"/>
      <c r="L14" s="29"/>
    </row>
    <row r="15" spans="1:12" x14ac:dyDescent="0.2">
      <c r="A15" s="48">
        <v>5</v>
      </c>
      <c r="B15" s="25" t="s">
        <v>60</v>
      </c>
      <c r="C15" s="68">
        <v>1</v>
      </c>
      <c r="D15" s="88">
        <v>7515</v>
      </c>
      <c r="E15" s="66">
        <f t="shared" si="2"/>
        <v>1.9205213391259903</v>
      </c>
      <c r="F15" s="67">
        <f t="shared" si="3"/>
        <v>270</v>
      </c>
      <c r="G15" s="67">
        <f t="shared" si="0"/>
        <v>7785</v>
      </c>
      <c r="H15" s="66">
        <f t="shared" si="4"/>
        <v>1.9203256043413912</v>
      </c>
      <c r="I15" s="67">
        <f t="shared" si="1"/>
        <v>7785</v>
      </c>
      <c r="J15" s="29"/>
      <c r="K15" s="29"/>
      <c r="L15" s="29"/>
    </row>
    <row r="16" spans="1:12" x14ac:dyDescent="0.2">
      <c r="A16" s="48">
        <v>6</v>
      </c>
      <c r="B16" s="25" t="s">
        <v>61</v>
      </c>
      <c r="C16" s="68">
        <v>0</v>
      </c>
      <c r="D16" s="88">
        <v>14413</v>
      </c>
      <c r="E16" s="66">
        <f t="shared" si="2"/>
        <v>1.9178975382568197</v>
      </c>
      <c r="F16" s="67">
        <f t="shared" si="3"/>
        <v>518</v>
      </c>
      <c r="G16" s="67">
        <f t="shared" si="0"/>
        <v>14931</v>
      </c>
      <c r="H16" s="66">
        <f t="shared" si="4"/>
        <v>1.9179190751445088</v>
      </c>
      <c r="I16" s="67">
        <f t="shared" si="1"/>
        <v>0</v>
      </c>
      <c r="J16" s="29"/>
      <c r="K16" s="29"/>
      <c r="L16" s="29"/>
    </row>
    <row r="17" spans="1:12" x14ac:dyDescent="0.2">
      <c r="A17" s="48">
        <v>7</v>
      </c>
      <c r="B17" s="25" t="s">
        <v>62</v>
      </c>
      <c r="C17" s="68">
        <v>2</v>
      </c>
      <c r="D17" s="88">
        <v>27675</v>
      </c>
      <c r="E17" s="66">
        <f t="shared" si="2"/>
        <v>1.9201415388885035</v>
      </c>
      <c r="F17" s="67">
        <f t="shared" si="3"/>
        <v>995</v>
      </c>
      <c r="G17" s="67">
        <f t="shared" si="0"/>
        <v>28670</v>
      </c>
      <c r="H17" s="66">
        <f t="shared" si="4"/>
        <v>1.9201660973812873</v>
      </c>
      <c r="I17" s="67">
        <f t="shared" si="1"/>
        <v>57340</v>
      </c>
      <c r="J17" s="29"/>
      <c r="K17" s="29"/>
      <c r="L17" s="29"/>
    </row>
    <row r="18" spans="1:12" x14ac:dyDescent="0.2">
      <c r="A18" s="48">
        <v>8</v>
      </c>
      <c r="B18" s="25" t="s">
        <v>63</v>
      </c>
      <c r="C18" s="68">
        <v>0</v>
      </c>
      <c r="D18" s="88">
        <v>53128</v>
      </c>
      <c r="E18" s="66">
        <f t="shared" si="2"/>
        <v>1.9197109304426379</v>
      </c>
      <c r="F18" s="67">
        <f t="shared" si="3"/>
        <v>1910</v>
      </c>
      <c r="G18" s="67">
        <f t="shared" si="0"/>
        <v>55038</v>
      </c>
      <c r="H18" s="66">
        <f t="shared" si="4"/>
        <v>1.9197070108126961</v>
      </c>
      <c r="I18" s="67">
        <f t="shared" si="1"/>
        <v>0</v>
      </c>
      <c r="J18" s="29"/>
      <c r="K18" s="29"/>
      <c r="L18" s="29"/>
    </row>
    <row r="19" spans="1:12" x14ac:dyDescent="0.2">
      <c r="A19" s="48">
        <v>9</v>
      </c>
      <c r="B19" s="25" t="s">
        <v>64</v>
      </c>
      <c r="C19" s="68">
        <v>0</v>
      </c>
      <c r="D19" s="88">
        <v>102005</v>
      </c>
      <c r="E19" s="66">
        <f t="shared" si="2"/>
        <v>1.919985694925463</v>
      </c>
      <c r="F19" s="67">
        <f t="shared" si="3"/>
        <v>3668</v>
      </c>
      <c r="G19" s="67">
        <f t="shared" si="0"/>
        <v>105673</v>
      </c>
      <c r="H19" s="66">
        <f t="shared" si="4"/>
        <v>1.920000726770595</v>
      </c>
      <c r="I19" s="67">
        <f t="shared" si="1"/>
        <v>0</v>
      </c>
      <c r="J19" s="29"/>
      <c r="K19" s="29"/>
      <c r="L19" s="29"/>
    </row>
    <row r="20" spans="1:12" x14ac:dyDescent="0.2">
      <c r="A20" s="48">
        <v>10</v>
      </c>
      <c r="B20" s="25" t="s">
        <v>65</v>
      </c>
      <c r="C20" s="68">
        <v>1</v>
      </c>
      <c r="D20" s="88">
        <v>142684</v>
      </c>
      <c r="E20" s="66">
        <f t="shared" si="2"/>
        <v>1.3987941767560415</v>
      </c>
      <c r="F20" s="67">
        <f t="shared" si="3"/>
        <v>5130</v>
      </c>
      <c r="G20" s="67">
        <v>145252</v>
      </c>
      <c r="H20" s="66">
        <f t="shared" si="4"/>
        <v>1.3745422198669481</v>
      </c>
      <c r="I20" s="67">
        <f t="shared" si="1"/>
        <v>145252</v>
      </c>
      <c r="J20" s="29"/>
      <c r="K20" s="29"/>
      <c r="L20" s="29"/>
    </row>
    <row r="21" spans="1:12" x14ac:dyDescent="0.2">
      <c r="A21" s="48">
        <v>11</v>
      </c>
      <c r="B21" s="25" t="s">
        <v>66</v>
      </c>
      <c r="C21" s="69">
        <v>2</v>
      </c>
      <c r="D21" s="88">
        <v>142684</v>
      </c>
      <c r="E21" s="66">
        <f t="shared" si="2"/>
        <v>1</v>
      </c>
      <c r="F21" s="67">
        <f t="shared" si="3"/>
        <v>5130</v>
      </c>
      <c r="G21" s="67">
        <v>145252</v>
      </c>
      <c r="H21" s="66">
        <f t="shared" si="4"/>
        <v>1</v>
      </c>
      <c r="I21" s="70">
        <f t="shared" si="1"/>
        <v>290504</v>
      </c>
      <c r="J21" s="29"/>
      <c r="K21" s="29"/>
      <c r="L21" s="29"/>
    </row>
    <row r="22" spans="1:12" ht="15.75" customHeight="1" thickBot="1" x14ac:dyDescent="0.25">
      <c r="A22" s="29"/>
      <c r="B22" s="29" t="s">
        <v>48</v>
      </c>
      <c r="C22" s="71">
        <f>SUM(C10:C21)</f>
        <v>95</v>
      </c>
      <c r="D22" s="29"/>
      <c r="E22" s="29"/>
      <c r="F22" s="29"/>
      <c r="G22" s="29"/>
      <c r="H22" s="29"/>
      <c r="I22" s="70">
        <f>SUM(I10:I21)</f>
        <v>568789</v>
      </c>
      <c r="J22" s="29"/>
      <c r="K22" s="29"/>
      <c r="L22" s="29"/>
    </row>
    <row r="23" spans="1:12" ht="19.5" customHeight="1" thickTop="1" thickBot="1" x14ac:dyDescent="0.25">
      <c r="A23" s="29"/>
      <c r="B23" s="25" t="s">
        <v>67</v>
      </c>
      <c r="C23" s="68"/>
      <c r="D23" s="29"/>
      <c r="E23" s="29"/>
      <c r="F23" s="29"/>
      <c r="G23" s="29"/>
      <c r="H23" s="29"/>
      <c r="I23" s="72">
        <f>C4-I22</f>
        <v>753505.19442112464</v>
      </c>
      <c r="J23" s="29"/>
      <c r="K23" s="29"/>
      <c r="L23" s="29"/>
    </row>
    <row r="24" spans="1:12" ht="30" customHeight="1" thickTop="1" x14ac:dyDescent="0.2">
      <c r="A24" s="7" t="s">
        <v>96</v>
      </c>
      <c r="B24" s="55"/>
      <c r="C24" s="68"/>
      <c r="D24" s="29"/>
      <c r="E24" s="29"/>
      <c r="F24" s="29"/>
      <c r="G24" s="29"/>
      <c r="H24" s="29"/>
      <c r="I24" s="36"/>
      <c r="J24" s="29"/>
      <c r="K24" s="29"/>
      <c r="L24" s="29"/>
    </row>
    <row r="25" spans="1:12" ht="12.75" customHeight="1" x14ac:dyDescent="0.2">
      <c r="A25" s="7" t="s">
        <v>74</v>
      </c>
      <c r="B25" s="55"/>
      <c r="C25" s="68"/>
      <c r="D25" s="29"/>
      <c r="E25" s="29"/>
      <c r="F25" s="29"/>
      <c r="G25" s="29"/>
      <c r="H25" s="29"/>
      <c r="I25" s="36"/>
      <c r="J25" s="29"/>
      <c r="K25" s="29"/>
      <c r="L25" s="29"/>
    </row>
    <row r="26" spans="1:12" ht="12.75" customHeight="1" x14ac:dyDescent="0.2">
      <c r="A26" s="7" t="s">
        <v>75</v>
      </c>
      <c r="B26" s="55"/>
      <c r="C26" s="68"/>
      <c r="D26" s="29"/>
      <c r="E26" s="29"/>
      <c r="F26" s="29"/>
      <c r="G26" s="29"/>
      <c r="H26" s="29"/>
      <c r="I26" s="36"/>
      <c r="J26" s="29"/>
      <c r="K26" s="29"/>
      <c r="L26" s="29"/>
    </row>
    <row r="27" spans="1:12" x14ac:dyDescent="0.2">
      <c r="A27" s="7" t="s">
        <v>126</v>
      </c>
      <c r="B27" s="55"/>
      <c r="C27" s="68"/>
      <c r="D27" s="29"/>
      <c r="E27" s="29"/>
      <c r="F27" s="29"/>
      <c r="G27" s="29"/>
      <c r="H27" s="29"/>
      <c r="I27" s="36"/>
      <c r="J27" s="29"/>
      <c r="K27" s="29"/>
      <c r="L27" s="29"/>
    </row>
    <row r="28" spans="1:12" x14ac:dyDescent="0.2">
      <c r="A28" s="7" t="s">
        <v>102</v>
      </c>
      <c r="B28" s="55"/>
      <c r="C28" s="68"/>
      <c r="D28" s="29"/>
      <c r="E28" s="29"/>
      <c r="F28" s="29"/>
      <c r="G28" s="29"/>
      <c r="H28" s="29"/>
      <c r="I28" s="36"/>
      <c r="J28" s="29"/>
      <c r="K28" s="29"/>
      <c r="L28" s="29"/>
    </row>
    <row r="29" spans="1:12" x14ac:dyDescent="0.2">
      <c r="A29" s="7" t="s">
        <v>98</v>
      </c>
      <c r="B29" s="55"/>
      <c r="C29" s="68"/>
      <c r="D29" s="29"/>
      <c r="E29" s="29"/>
      <c r="F29" s="29"/>
      <c r="G29" s="29"/>
      <c r="H29" s="29"/>
      <c r="I29" s="36"/>
      <c r="J29" s="29"/>
      <c r="K29" s="29"/>
      <c r="L29" s="29"/>
    </row>
    <row r="30" spans="1:12" x14ac:dyDescent="0.2">
      <c r="A30" s="7" t="s">
        <v>127</v>
      </c>
      <c r="B30" s="55"/>
      <c r="C30" s="68"/>
      <c r="D30" s="29"/>
      <c r="E30" s="29"/>
      <c r="F30" s="29"/>
      <c r="G30" s="29"/>
      <c r="H30" s="29"/>
      <c r="I30" s="36"/>
      <c r="J30" s="29"/>
      <c r="K30" s="29"/>
      <c r="L30" s="29"/>
    </row>
    <row r="31" spans="1:12" x14ac:dyDescent="0.2">
      <c r="A31" s="7" t="s">
        <v>76</v>
      </c>
      <c r="B31" s="55"/>
      <c r="C31" s="68"/>
      <c r="D31" s="29"/>
      <c r="E31" s="29"/>
      <c r="F31" s="29"/>
      <c r="G31" s="29"/>
      <c r="H31" s="29"/>
      <c r="I31" s="36"/>
      <c r="J31" s="29"/>
      <c r="K31" s="29"/>
      <c r="L31" s="29"/>
    </row>
    <row r="32" spans="1:12" x14ac:dyDescent="0.2">
      <c r="A32" s="7" t="s">
        <v>68</v>
      </c>
      <c r="C32" s="29"/>
      <c r="D32" s="29"/>
      <c r="E32" s="73"/>
      <c r="F32" s="73"/>
      <c r="G32" s="73"/>
      <c r="H32" s="73"/>
      <c r="I32" s="74"/>
      <c r="J32" s="29"/>
      <c r="K32" s="29"/>
      <c r="L32" s="29"/>
    </row>
    <row r="33" spans="1:12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workbookViewId="0">
      <selection activeCell="A15" sqref="A15"/>
    </sheetView>
  </sheetViews>
  <sheetFormatPr defaultRowHeight="12.75" x14ac:dyDescent="0.2"/>
  <cols>
    <col min="1" max="1" width="5.7109375" style="2" customWidth="1"/>
    <col min="2" max="2" width="74.42578125" style="2" customWidth="1"/>
    <col min="3" max="3" width="11.7109375" style="2" customWidth="1"/>
    <col min="4" max="5" width="10.7109375" style="2" customWidth="1"/>
    <col min="6" max="6" width="11.140625" style="2" customWidth="1"/>
    <col min="7" max="7" width="10.7109375" style="2" customWidth="1"/>
    <col min="8" max="8" width="11.7109375" style="2" customWidth="1"/>
    <col min="9" max="16384" width="9.140625" style="2"/>
  </cols>
  <sheetData>
    <row r="1" spans="1:10" ht="15.75" x14ac:dyDescent="0.25">
      <c r="A1" s="30" t="s">
        <v>0</v>
      </c>
      <c r="C1" s="31"/>
      <c r="D1" s="31"/>
      <c r="E1" s="31"/>
      <c r="F1" s="31"/>
      <c r="G1" s="31"/>
      <c r="H1" s="3" t="s">
        <v>28</v>
      </c>
    </row>
    <row r="2" spans="1:10" ht="16.5" thickBot="1" x14ac:dyDescent="0.3">
      <c r="A2" s="32" t="s">
        <v>137</v>
      </c>
      <c r="B2" s="33"/>
      <c r="C2" s="34"/>
      <c r="D2" s="34"/>
      <c r="E2" s="34"/>
      <c r="F2" s="34"/>
      <c r="G2" s="34"/>
      <c r="H2" s="34"/>
    </row>
    <row r="3" spans="1:10" ht="36" customHeight="1" thickTop="1" x14ac:dyDescent="0.25">
      <c r="A3" s="26"/>
      <c r="B3" s="35" t="str">
        <f>"Revenue requirement for 2018 dose rate charge (from Calculation Sheet 1, line "&amp;TEXT('Rate Calculation'!A44,"#")&amp;")"</f>
        <v>Revenue requirement for 2018 dose rate charge (from Calculation Sheet 1, line 40)</v>
      </c>
      <c r="C3" s="36">
        <f>'Rate Calculation'!L44</f>
        <v>1849499.640707684</v>
      </c>
      <c r="D3" s="37"/>
      <c r="E3" s="37"/>
      <c r="F3" s="37"/>
      <c r="G3" s="37"/>
      <c r="H3" s="37"/>
    </row>
    <row r="4" spans="1:10" ht="99.75" customHeight="1" thickBot="1" x14ac:dyDescent="0.25">
      <c r="A4" s="12" t="s">
        <v>29</v>
      </c>
      <c r="B4" s="38" t="s">
        <v>30</v>
      </c>
      <c r="C4" s="39" t="s">
        <v>138</v>
      </c>
      <c r="D4" s="11" t="s">
        <v>103</v>
      </c>
      <c r="E4" s="11" t="s">
        <v>122</v>
      </c>
      <c r="F4" s="11" t="s">
        <v>139</v>
      </c>
      <c r="G4" s="11" t="s">
        <v>140</v>
      </c>
      <c r="H4" s="11" t="s">
        <v>141</v>
      </c>
    </row>
    <row r="5" spans="1:10" ht="36" customHeight="1" x14ac:dyDescent="0.2">
      <c r="A5" s="40"/>
      <c r="B5" s="41" t="s">
        <v>31</v>
      </c>
      <c r="C5" s="42" t="s">
        <v>32</v>
      </c>
      <c r="D5" s="42" t="s">
        <v>33</v>
      </c>
      <c r="E5" s="42" t="s">
        <v>34</v>
      </c>
      <c r="F5" s="42" t="s">
        <v>35</v>
      </c>
      <c r="G5" s="42" t="s">
        <v>36</v>
      </c>
      <c r="H5" s="42" t="s">
        <v>37</v>
      </c>
      <c r="I5" s="43"/>
      <c r="J5" s="43"/>
    </row>
    <row r="6" spans="1:10" ht="36" customHeight="1" x14ac:dyDescent="0.2">
      <c r="A6" s="40"/>
      <c r="B6" s="44" t="s">
        <v>38</v>
      </c>
      <c r="C6" s="85" t="s">
        <v>92</v>
      </c>
      <c r="D6" s="45" t="s">
        <v>39</v>
      </c>
      <c r="E6" s="45" t="s">
        <v>40</v>
      </c>
      <c r="F6" s="46" t="s">
        <v>41</v>
      </c>
      <c r="G6" s="45" t="s">
        <v>40</v>
      </c>
      <c r="H6" s="45" t="s">
        <v>42</v>
      </c>
      <c r="I6" s="47"/>
      <c r="J6" s="47"/>
    </row>
    <row r="7" spans="1:10" ht="18" customHeight="1" x14ac:dyDescent="0.2">
      <c r="A7" s="48">
        <v>1</v>
      </c>
      <c r="B7" s="25" t="s">
        <v>43</v>
      </c>
      <c r="C7" s="49">
        <v>180</v>
      </c>
      <c r="D7" s="50">
        <v>269</v>
      </c>
      <c r="E7" s="51"/>
      <c r="F7" s="50">
        <v>40</v>
      </c>
      <c r="G7" s="51"/>
      <c r="H7" s="20">
        <f>C7*F7</f>
        <v>7200</v>
      </c>
      <c r="I7" s="50"/>
      <c r="J7" s="50"/>
    </row>
    <row r="8" spans="1:10" x14ac:dyDescent="0.2">
      <c r="A8" s="48">
        <v>2</v>
      </c>
      <c r="B8" s="25" t="s">
        <v>44</v>
      </c>
      <c r="C8" s="49">
        <v>9</v>
      </c>
      <c r="D8" s="14">
        <v>19120</v>
      </c>
      <c r="E8" s="51">
        <f>D8/D7</f>
        <v>71.078066914498137</v>
      </c>
      <c r="F8" s="14">
        <v>2844</v>
      </c>
      <c r="G8" s="51">
        <f>F8/F7</f>
        <v>71.099999999999994</v>
      </c>
      <c r="H8" s="49">
        <f>C8*F8</f>
        <v>25596</v>
      </c>
      <c r="I8" s="14"/>
      <c r="J8" s="14"/>
    </row>
    <row r="9" spans="1:10" x14ac:dyDescent="0.2">
      <c r="A9" s="48">
        <v>3</v>
      </c>
      <c r="B9" s="25" t="s">
        <v>45</v>
      </c>
      <c r="C9" s="49">
        <v>42</v>
      </c>
      <c r="D9" s="14">
        <v>76450</v>
      </c>
      <c r="E9" s="51">
        <f>D9/D8</f>
        <v>3.9984309623430963</v>
      </c>
      <c r="F9" s="14">
        <v>11310</v>
      </c>
      <c r="G9" s="51">
        <f>F9/F8</f>
        <v>3.9767932489451479</v>
      </c>
      <c r="H9" s="49">
        <f>C9*F9</f>
        <v>475020</v>
      </c>
      <c r="I9" s="14"/>
      <c r="J9" s="14"/>
    </row>
    <row r="10" spans="1:10" x14ac:dyDescent="0.2">
      <c r="A10" s="48">
        <v>4</v>
      </c>
      <c r="B10" s="25" t="s">
        <v>46</v>
      </c>
      <c r="C10" s="49">
        <v>12</v>
      </c>
      <c r="D10" s="14">
        <v>114670</v>
      </c>
      <c r="E10" s="51">
        <f>D10/D9</f>
        <v>1.4999345977763243</v>
      </c>
      <c r="F10" s="14">
        <v>16940</v>
      </c>
      <c r="G10" s="51">
        <f>F10/F9</f>
        <v>1.497789566755084</v>
      </c>
      <c r="H10" s="49">
        <f>C10*F10</f>
        <v>203280</v>
      </c>
      <c r="I10" s="14"/>
      <c r="J10" s="14"/>
    </row>
    <row r="11" spans="1:10" x14ac:dyDescent="0.2">
      <c r="A11" s="48">
        <v>5</v>
      </c>
      <c r="B11" s="25" t="s">
        <v>47</v>
      </c>
      <c r="C11" s="52">
        <v>4</v>
      </c>
      <c r="D11" s="14">
        <v>1926500</v>
      </c>
      <c r="E11" s="51">
        <f>D11/D10</f>
        <v>16.800383709775879</v>
      </c>
      <c r="F11" s="14">
        <v>284600</v>
      </c>
      <c r="G11" s="51">
        <f>F11/F10</f>
        <v>16.800472255017709</v>
      </c>
      <c r="H11" s="52">
        <f>C11*F11</f>
        <v>1138400</v>
      </c>
      <c r="I11" s="14"/>
      <c r="J11" s="14"/>
    </row>
    <row r="12" spans="1:10" ht="18" customHeight="1" thickBot="1" x14ac:dyDescent="0.25">
      <c r="A12" s="26"/>
      <c r="B12" s="26" t="s">
        <v>48</v>
      </c>
      <c r="C12" s="53">
        <f>SUM(C7:C11)</f>
        <v>247</v>
      </c>
      <c r="D12" s="26"/>
      <c r="E12" s="26"/>
      <c r="F12" s="26"/>
      <c r="G12" s="26"/>
      <c r="H12" s="54">
        <f>SUM(H7:H11)</f>
        <v>1849496</v>
      </c>
    </row>
    <row r="13" spans="1:10" ht="24" customHeight="1" thickTop="1" x14ac:dyDescent="0.2">
      <c r="A13" s="7" t="s">
        <v>49</v>
      </c>
      <c r="B13" s="55"/>
      <c r="C13" s="26"/>
      <c r="D13" s="26"/>
      <c r="E13" s="26"/>
      <c r="F13" s="26"/>
      <c r="G13" s="26"/>
      <c r="H13" s="50"/>
    </row>
    <row r="14" spans="1:10" x14ac:dyDescent="0.2">
      <c r="A14" s="7" t="s">
        <v>142</v>
      </c>
      <c r="B14" s="55"/>
      <c r="C14" s="26"/>
      <c r="D14" s="26"/>
      <c r="E14" s="26"/>
      <c r="F14" s="26"/>
      <c r="G14" s="26"/>
      <c r="H14" s="26"/>
    </row>
    <row r="15" spans="1:10" x14ac:dyDescent="0.2">
      <c r="A15" s="7" t="s">
        <v>50</v>
      </c>
      <c r="B15" s="26"/>
      <c r="C15" s="26"/>
      <c r="D15" s="26"/>
      <c r="E15" s="26"/>
      <c r="F15" s="26"/>
      <c r="G15" s="26"/>
      <c r="H15" s="26"/>
    </row>
    <row r="16" spans="1:10" x14ac:dyDescent="0.2">
      <c r="A16" s="7" t="s">
        <v>51</v>
      </c>
      <c r="B16" s="26"/>
      <c r="C16" s="26"/>
      <c r="D16" s="26"/>
      <c r="E16" s="26"/>
      <c r="F16" s="26"/>
      <c r="G16" s="26"/>
      <c r="H16" s="26"/>
    </row>
  </sheetData>
  <phoneticPr fontId="2"/>
  <printOptions horizontalCentered="1" gridLinesSet="0"/>
  <pageMargins left="0.5" right="0.5" top="0.5" bottom="0.5" header="0.5" footer="0.5"/>
  <pageSetup scale="88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EFAD4EC5E92F48A399B98CB9EF7781" ma:contentTypeVersion="76" ma:contentTypeDescription="" ma:contentTypeScope="" ma:versionID="899efc0f1f5e61f21b48f34c75e8c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180279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17FBD5-F4F5-4C6B-985B-6D4359838441}"/>
</file>

<file path=customXml/itemProps2.xml><?xml version="1.0" encoding="utf-8"?>
<ds:datastoreItem xmlns:ds="http://schemas.openxmlformats.org/officeDocument/2006/customXml" ds:itemID="{DFECE822-DEC2-4AE0-96F2-C8C75D02DE1B}"/>
</file>

<file path=customXml/itemProps3.xml><?xml version="1.0" encoding="utf-8"?>
<ds:datastoreItem xmlns:ds="http://schemas.openxmlformats.org/officeDocument/2006/customXml" ds:itemID="{DE37398B-EB62-46C8-9859-4EAC6301F96E}"/>
</file>

<file path=customXml/itemProps4.xml><?xml version="1.0" encoding="utf-8"?>
<ds:datastoreItem xmlns:ds="http://schemas.openxmlformats.org/officeDocument/2006/customXml" ds:itemID="{432C474C-2852-4E6E-A033-D3D12F438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2018-03-19T17:03:11Z</cp:lastPrinted>
  <dcterms:created xsi:type="dcterms:W3CDTF">2008-10-29T18:17:02Z</dcterms:created>
  <dcterms:modified xsi:type="dcterms:W3CDTF">2018-03-19T17:03:38Z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0x0101006E56B4D1795A2E4DB2F0B01679ED314A0085EFAD4EC5E92F48A399B98CB9EF7781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