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8.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xl/externalLinks/externalLink9.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home.utc.wa.gov/sites/ue-170033/Staffs Testimony and Exhibits/"/>
    </mc:Choice>
  </mc:AlternateContent>
  <bookViews>
    <workbookView xWindow="0" yWindow="0" windowWidth="28800" windowHeight="10515"/>
  </bookViews>
  <sheets>
    <sheet name="MCC-2r page 1-6" sheetId="1" r:id="rId1"/>
    <sheet name="MCC-2r page 7-30" sheetId="2" r:id="rId2"/>
    <sheet name="MCC-2r page 31-45" sheetId="3" r:id="rId3"/>
    <sheet name="EXHIBIT MCC-3r" sheetId="4" r:id="rId4"/>
    <sheet name="EXHIBIT MCC-4r" sheetId="5" r:id="rId5"/>
    <sheet name="EXHIBIT MCC-5r" sheetId="6" r:id="rId6"/>
    <sheet name="EXHIBIT MCC-6"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hidden="1">[1]Quant!$D$71:$O$71</definedName>
    <definedName name="__123Graph_ABUDG6_DSCRPR" hidden="1">[1]Quant!$D$71:$O$71</definedName>
    <definedName name="__123Graph_ABUDG6_ESCRPR1" hidden="1">[1]Quant!$D$100:$O$100</definedName>
    <definedName name="__123Graph_B" hidden="1">[1]Quant!$D$72:$O$72</definedName>
    <definedName name="__123Graph_BBUDG6_DSCRPR" hidden="1">[1]Quant!$D$72:$O$72</definedName>
    <definedName name="__123Graph_BBUDG6_ESCRPR1" hidden="1">[1]Quant!$D$88:$O$88</definedName>
    <definedName name="__123Graph_ECURRENT" localSheetId="4" hidden="1">#N/A</definedName>
    <definedName name="__123Graph_ECURRENT" localSheetId="5" hidden="1">#N/A</definedName>
    <definedName name="__123Graph_ECURRENT" hidden="1">[2]ConsolidatingPL!#REF!</definedName>
    <definedName name="__123Graph_X" hidden="1">[1]Quant!$D$5:$O$5</definedName>
    <definedName name="__123Graph_XBUDG6_DSCRPR" hidden="1">[1]Quant!$D$5:$O$5</definedName>
    <definedName name="__123Graph_XBUDG6_ESCRPR1" hidden="1">[1]Quant!$D$5:$O$5</definedName>
    <definedName name="__six6" localSheetId="6" hidden="1">{#N/A,#N/A,FALSE,"CRPT";#N/A,#N/A,FALSE,"TREND";#N/A,#N/A,FALSE,"%Curve"}</definedName>
    <definedName name="__six6" hidden="1">{#N/A,#N/A,FALSE,"CRPT";#N/A,#N/A,FALSE,"TREND";#N/A,#N/A,FALSE,"%Curve"}</definedName>
    <definedName name="_1__123Graph_ABUDG6_D_ESCRPR" hidden="1">[1]Quant!$D$71:$O$71</definedName>
    <definedName name="_2__123Graph_ABUDG6_Dtons_inv" hidden="1">[3]Quant!#REF!</definedName>
    <definedName name="_3__123Graph_ABUDG6_Dtons_inv" hidden="1">[4]Quant!#REF!</definedName>
    <definedName name="_3__123Graph_BBUDG6_D_ESCRPR" hidden="1">[1]Quant!$D$72:$O$72</definedName>
    <definedName name="_4__123Graph_ABUDG6_Dtons_inv" hidden="1">'[5]Area D 2011'!#REF!</definedName>
    <definedName name="_4__123Graph_BBUDG6_Dtons_inv" hidden="1">[1]Quant!$D$9:$O$9</definedName>
    <definedName name="_5__123Graph_CBUDG6_D_ESCRPR" hidden="1">[1]Quant!$D$100:$O$100</definedName>
    <definedName name="_6__123Graph_CBUDG6_D_ESCRPR" hidden="1">'[6]2012 Area AB BudgetSummary'!#REF!</definedName>
    <definedName name="_6__123Graph_DBUDG6_D_ESCRPR" hidden="1">[1]Quant!$D$88:$O$88</definedName>
    <definedName name="_7__123Graph_CBUDG6_D_ESCRPR" hidden="1">'[5]Area D 2011'!#REF!</definedName>
    <definedName name="_7__123Graph_DBUDG6_D_ESCRPR" hidden="1">'[6]2012 Area AB BudgetSummary'!#REF!</definedName>
    <definedName name="_7__123Graph_XBUDG6_D_ESCRPR" hidden="1">[1]Quant!$D$5:$O$5</definedName>
    <definedName name="_8__123Graph_DBUDG6_D_ESCRPR" hidden="1">'[5]Area D 2011'!#REF!</definedName>
    <definedName name="_8__123Graph_XBUDG6_Dtons_inv" hidden="1">[1]Quant!$D$5:$O$5</definedName>
    <definedName name="_Fill" localSheetId="4" hidden="1">#REF!</definedName>
    <definedName name="_Fill" localSheetId="5" hidden="1">#REF!</definedName>
    <definedName name="_Fill" hidden="1">#REF!</definedName>
    <definedName name="_Key1" hidden="1">#REF!</definedName>
    <definedName name="_Key2" hidden="1">#REF!</definedName>
    <definedName name="_Order1" hidden="1">255</definedName>
    <definedName name="_Order2" hidden="1">255</definedName>
    <definedName name="_Parse_In" hidden="1">#REF!</definedName>
    <definedName name="_six6" localSheetId="5" hidden="1">{#N/A,#N/A,FALSE,"CRPT";#N/A,#N/A,FALSE,"TREND";#N/A,#N/A,FALSE,"%Curve"}</definedName>
    <definedName name="_six6" hidden="1">{#N/A,#N/A,FALSE,"CRPT";#N/A,#N/A,FALSE,"TREND";#N/A,#N/A,FALSE,"%Curve"}</definedName>
    <definedName name="_www1" localSheetId="5" hidden="1">{#N/A,#N/A,FALSE,"schA"}</definedName>
    <definedName name="_www1" hidden="1">{#N/A,#N/A,FALSE,"schA"}</definedName>
    <definedName name="a" localSheetId="5" hidden="1">{#N/A,#N/A,FALSE,"Coversheet";#N/A,#N/A,FALSE,"QA"}</definedName>
    <definedName name="a" hidden="1">{#N/A,#N/A,FALSE,"Coversheet";#N/A,#N/A,FALSE,"QA"}</definedName>
    <definedName name="AccessDatabase" hidden="1">"I:\COMTREL\FINICLE\TradeSummary.mdb"</definedName>
    <definedName name="b" localSheetId="4" hidden="1">{#N/A,#N/A,FALSE,"Coversheet";#N/A,#N/A,FALSE,"QA"}</definedName>
    <definedName name="b" localSheetId="5" hidden="1">{#N/A,#N/A,FALSE,"Coversheet";#N/A,#N/A,FALSE,"QA"}</definedName>
    <definedName name="b" localSheetId="6" hidden="1">{#N/A,#N/A,FALSE,"Coversheet";#N/A,#N/A,FALSE,"QA"}</definedName>
    <definedName name="b" hidden="1">{#N/A,#N/A,FALSE,"Coversheet";#N/A,#N/A,FALSE,"QA"}</definedName>
    <definedName name="CASE">[7]INPUTS!$C$11</definedName>
    <definedName name="Case_Name">'MCC-2r page 7-30'!$B$8</definedName>
    <definedName name="CBWorkbookPriority" hidden="1">-2060790043</definedName>
    <definedName name="ConversionFactor">'EXHIBIT MCC-3r'!$P$21</definedName>
    <definedName name="ConversionFactorGas">'[8]EXHIBIT MCC-8'!$Q$23</definedName>
    <definedName name="DELETE01" localSheetId="4" hidden="1">{#N/A,#N/A,FALSE,"Coversheet";#N/A,#N/A,FALSE,"QA"}</definedName>
    <definedName name="DELETE01" localSheetId="5" hidden="1">{#N/A,#N/A,FALSE,"Coversheet";#N/A,#N/A,FALSE,"QA"}</definedName>
    <definedName name="DELETE01" localSheetId="6" hidden="1">{#N/A,#N/A,FALSE,"Coversheet";#N/A,#N/A,FALSE,"QA"}</definedName>
    <definedName name="DELETE01" hidden="1">{#N/A,#N/A,FALSE,"Coversheet";#N/A,#N/A,FALSE,"QA"}</definedName>
    <definedName name="DELETE02" localSheetId="4" hidden="1">{#N/A,#N/A,FALSE,"Schedule F";#N/A,#N/A,FALSE,"Schedule G"}</definedName>
    <definedName name="DELETE02" localSheetId="5" hidden="1">{#N/A,#N/A,FALSE,"Schedule F";#N/A,#N/A,FALSE,"Schedule G"}</definedName>
    <definedName name="DELETE02" localSheetId="6" hidden="1">{#N/A,#N/A,FALSE,"Schedule F";#N/A,#N/A,FALSE,"Schedule G"}</definedName>
    <definedName name="DELETE02" hidden="1">{#N/A,#N/A,FALSE,"Schedule F";#N/A,#N/A,FALSE,"Schedule G"}</definedName>
    <definedName name="Delete06" localSheetId="4" hidden="1">{#N/A,#N/A,FALSE,"Coversheet";#N/A,#N/A,FALSE,"QA"}</definedName>
    <definedName name="Delete06" localSheetId="5" hidden="1">{#N/A,#N/A,FALSE,"Coversheet";#N/A,#N/A,FALSE,"QA"}</definedName>
    <definedName name="Delete06" localSheetId="6" hidden="1">{#N/A,#N/A,FALSE,"Coversheet";#N/A,#N/A,FALSE,"QA"}</definedName>
    <definedName name="Delete06" hidden="1">{#N/A,#N/A,FALSE,"Coversheet";#N/A,#N/A,FALSE,"QA"}</definedName>
    <definedName name="Delete09" localSheetId="4" hidden="1">{#N/A,#N/A,FALSE,"Coversheet";#N/A,#N/A,FALSE,"QA"}</definedName>
    <definedName name="Delete09" localSheetId="5" hidden="1">{#N/A,#N/A,FALSE,"Coversheet";#N/A,#N/A,FALSE,"QA"}</definedName>
    <definedName name="Delete09" localSheetId="6" hidden="1">{#N/A,#N/A,FALSE,"Coversheet";#N/A,#N/A,FALSE,"QA"}</definedName>
    <definedName name="Delete09" hidden="1">{#N/A,#N/A,FALSE,"Coversheet";#N/A,#N/A,FALSE,"QA"}</definedName>
    <definedName name="Delete1" localSheetId="4" hidden="1">{#N/A,#N/A,FALSE,"Coversheet";#N/A,#N/A,FALSE,"QA"}</definedName>
    <definedName name="Delete1" localSheetId="5" hidden="1">{#N/A,#N/A,FALSE,"Coversheet";#N/A,#N/A,FALSE,"QA"}</definedName>
    <definedName name="Delete1" localSheetId="6" hidden="1">{#N/A,#N/A,FALSE,"Coversheet";#N/A,#N/A,FALSE,"QA"}</definedName>
    <definedName name="Delete1" hidden="1">{#N/A,#N/A,FALSE,"Coversheet";#N/A,#N/A,FALSE,"QA"}</definedName>
    <definedName name="Delete10" localSheetId="4" hidden="1">{#N/A,#N/A,FALSE,"Schedule F";#N/A,#N/A,FALSE,"Schedule G"}</definedName>
    <definedName name="Delete10" localSheetId="5" hidden="1">{#N/A,#N/A,FALSE,"Schedule F";#N/A,#N/A,FALSE,"Schedule G"}</definedName>
    <definedName name="Delete10" localSheetId="6" hidden="1">{#N/A,#N/A,FALSE,"Schedule F";#N/A,#N/A,FALSE,"Schedule G"}</definedName>
    <definedName name="Delete10" hidden="1">{#N/A,#N/A,FALSE,"Schedule F";#N/A,#N/A,FALSE,"Schedule G"}</definedName>
    <definedName name="Delete21" localSheetId="4" hidden="1">{#N/A,#N/A,FALSE,"Coversheet";#N/A,#N/A,FALSE,"QA"}</definedName>
    <definedName name="Delete21" localSheetId="5" hidden="1">{#N/A,#N/A,FALSE,"Coversheet";#N/A,#N/A,FALSE,"QA"}</definedName>
    <definedName name="Delete21" localSheetId="6" hidden="1">{#N/A,#N/A,FALSE,"Coversheet";#N/A,#N/A,FALSE,"QA"}</definedName>
    <definedName name="Delete21" hidden="1">{#N/A,#N/A,FALSE,"Coversheet";#N/A,#N/A,FALSE,"QA"}</definedName>
    <definedName name="DFIT" localSheetId="4" hidden="1">{#N/A,#N/A,FALSE,"Coversheet";#N/A,#N/A,FALSE,"QA"}</definedName>
    <definedName name="DFIT" localSheetId="5" hidden="1">{#N/A,#N/A,FALSE,"Coversheet";#N/A,#N/A,FALSE,"QA"}</definedName>
    <definedName name="DFIT" localSheetId="6" hidden="1">{#N/A,#N/A,FALSE,"Coversheet";#N/A,#N/A,FALSE,"QA"}</definedName>
    <definedName name="DFIT" hidden="1">{#N/A,#N/A,FALSE,"Coversheet";#N/A,#N/A,FALSE,"QA"}</definedName>
    <definedName name="DocketNumber">'[9] Page 1-5'!$AQ$2</definedName>
    <definedName name="ee" localSheetId="5" hidden="1">{#N/A,#N/A,FALSE,"Month ";#N/A,#N/A,FALSE,"YTD";#N/A,#N/A,FALSE,"12 mo ended"}</definedName>
    <definedName name="ee" hidden="1">{#N/A,#N/A,FALSE,"Month ";#N/A,#N/A,FALSE,"YTD";#N/A,#N/A,FALSE,"12 mo ended"}</definedName>
    <definedName name="EffTax">[7]INPUTS!$F$36</definedName>
    <definedName name="Estimate" localSheetId="5" hidden="1">{#N/A,#N/A,FALSE,"Summ";#N/A,#N/A,FALSE,"General"}</definedName>
    <definedName name="Estimate" hidden="1">{#N/A,#N/A,FALSE,"Summ";#N/A,#N/A,FALSE,"General"}</definedName>
    <definedName name="ex" localSheetId="5" hidden="1">{#N/A,#N/A,FALSE,"Summ";#N/A,#N/A,FALSE,"General"}</definedName>
    <definedName name="ex" hidden="1">{#N/A,#N/A,FALSE,"Summ";#N/A,#N/A,FALSE,"General"}</definedName>
    <definedName name="Exhibit_No.______JHS_06">'[9] Page 17-37'!$G$3</definedName>
    <definedName name="Exhibit_No.______JHS_4">'[9] Page 1-5'!$AQ$3</definedName>
    <definedName name="Exhibit_No._____JHS_05">'[9] Page 6-15'!$E$3</definedName>
    <definedName name="fdasfdas"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5" hidden="1">{#N/A,#N/A,FALSE,"Month ";#N/A,#N/A,FALSE,"YTD";#N/A,#N/A,FALSE,"12 mo ended"}</definedName>
    <definedName name="fdsafdasfdsa" hidden="1">{#N/A,#N/A,FALSE,"Month ";#N/A,#N/A,FALSE,"YTD";#N/A,#N/A,FALSE,"12 mo ended"}</definedName>
    <definedName name="FIT">'[9]EXHIBIT (RCM-3)'!$L$20</definedName>
    <definedName name="FTAX">[7]INPUTS!$F$35</definedName>
    <definedName name="HELP" localSheetId="5" hidden="1">{#N/A,#N/A,FALSE,"Coversheet";#N/A,#N/A,FALSE,"QA"}</definedName>
    <definedName name="HELP" hidden="1">{#N/A,#N/A,FALSE,"Coversheet";#N/A,#N/A,FALSE,"QA"}</definedName>
    <definedName name="Jane" localSheetId="5"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k"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_3.01_Deficiency" localSheetId="3">'EXHIBIT MCC-3r'!$A$2:$D$30</definedName>
    <definedName name="k_3.02_COC" localSheetId="3">'EXHIBIT MCC-3r'!$G$2:$K$23</definedName>
    <definedName name="k_3.03_ConvFact">'EXHIBIT MCC-3r'!$L$2:$P$22</definedName>
    <definedName name="k_6.01_RevAndExp">'MCC-2r page 7-30'!$A$2:$E$49</definedName>
    <definedName name="k_6.02_Temp_Norm">'MCC-2r page 7-30'!$F$2:$L$53</definedName>
    <definedName name="k_6.03_Pass_through_Rev_Exp">'MCC-2r page 7-30'!$M$2:$Q$51</definedName>
    <definedName name="k_6.04_Federal_Income_Tax">'MCC-2r page 7-30'!$R$2:$U$37</definedName>
    <definedName name="k_6.05_Tax_Benefit_Interest">'MCC-2r page 7-30'!$V$2:$Y$26</definedName>
    <definedName name="k_6.06_Depreciation_Study">'MCC-2r page 7-30'!$Z$2:$AD$42</definedName>
    <definedName name="k_6.07_Norm_Injuries_Damages">'MCC-2r page 7-30'!$AJ$2:$AN$20</definedName>
    <definedName name="k_6.08_Bad_Debts">'MCC-2r page 7-30'!$AO$2:$AW$29</definedName>
    <definedName name="k_6.09_Incentive_Pay">'MCC-2r page 7-30'!$AX$2:$BB$30</definedName>
    <definedName name="k_6.10_Directors_Officers_Insurance">'MCC-2r page 7-30'!$BC$2:$BG$21</definedName>
    <definedName name="k_6.11_Int_Customer_Deposits">'MCC-2r page 7-30'!$BH$2:$BK$15</definedName>
    <definedName name="k_6.12_Rate_Case_Expenses">'MCC-2r page 7-30'!$BL$2:$BO$31</definedName>
    <definedName name="k_6.13_Defferred_Gains_Losses">'MCC-2r page 7-30'!$BP$2:$BS$31</definedName>
    <definedName name="k_6.14_Property_Liability_Insurance">'MCC-2r page 7-30'!$BT$2:$BX$20</definedName>
    <definedName name="k_6.15_Pension_Plan">'MCC-2r page 7-30'!$BY$2:$CC$20</definedName>
    <definedName name="k_6.16_Wage_Increase">'MCC-2r page 7-30'!$CD$2:$CH$29</definedName>
    <definedName name="k_6.17_Investment_Plan">'MCC-2r page 7-30'!$CI$2:$CM$35</definedName>
    <definedName name="k_6.18_Employee_Insurance">'MCC-2r page 7-30'!$CN$2:$CR$24</definedName>
    <definedName name="k_6.19_EnvironmRemediation">'MCC-2r page 7-30'!$CS$2:$CW$28</definedName>
    <definedName name="k_6.20_PaymentProc_Cost">'MCC-2r page 7-30'!$CX$2:$DB$33</definedName>
    <definedName name="k_6.21_SoKservCent">'MCC-2r page 7-30'!$DC$2:$DG$36</definedName>
    <definedName name="k_6.22_ExcTax">'MCC-2r page 7-30'!$DH$2:$DL$23</definedName>
    <definedName name="k_7.01_Power_Costs">'MCC-2r page 31-45'!$A$2:$E$33</definedName>
    <definedName name="k_7.02_Montana">'MCC-2r page 31-45'!$F$2:$J$28</definedName>
    <definedName name="k_7.03_Wild_Hors_Sol">'MCC-2r page 31-45'!$K$2:$O$35</definedName>
    <definedName name="k_7.04_ASC_815">'MCC-2r page 31-45'!$P$2:$T$21</definedName>
    <definedName name="k_7.05_storm">'MCC-2r page 31-45'!$U$2:$Y$65</definedName>
    <definedName name="k_7.06_Reg_Asset">'MCC-2r page 31-45'!$Z$2:$AD$66</definedName>
    <definedName name="k_7.07_Glacier_Bat_St">'MCC-2r page 31-45'!$AE$2:$AI$31</definedName>
    <definedName name="k_7.08_EIM">'MCC-2r page 31-45'!$AJ$2:$AN$31</definedName>
    <definedName name="k_7.09_GoldendaleCU">'MCC-2r page 31-45'!$AO$2:$AS$42</definedName>
    <definedName name="k_7.10_MintFarm_CU">'MCC-2r page 31-45'!$AT$2:$AX$22</definedName>
    <definedName name="k_7.11_White_River">'MCC-2r page 31-45'!$AY$2:$BC$30</definedName>
    <definedName name="k_7.12_Hydro_Grants">'MCC-2r page 31-45'!$BD$2:$BH$25</definedName>
    <definedName name="k_7.13_Productn_Adj">'MCC-2r page 31-45'!$BI$2:$BM$97</definedName>
    <definedName name="k_Docket_Number">'MCC-2r page 1-6'!$BB$1</definedName>
    <definedName name="k_FITrate">'EXHIBIT MCC-3r'!$O$20</definedName>
    <definedName name="keep_KJB_4_Electric_Summary">'MCC-2r page 1-6'!$BB$3</definedName>
    <definedName name="keep_STATE_UTILITY_TAX">'EXHIBIT MCC-3r'!$P$15</definedName>
    <definedName name="keep_TESTYEAR">'MCC-2r page 7-30'!$B$7</definedName>
    <definedName name="keep_WUTC_FILING_FEE">'EXHIBIT MCC-3r'!$P$14</definedName>
    <definedName name="kp_Summary">'MCC-2r page 1-6'!$AS$2:$AW$62</definedName>
    <definedName name="kp_SumPg1">'MCC-2r page 1-6'!$D$2:$J$62</definedName>
    <definedName name="kp_SumPg2">'MCC-2r page 1-6'!$L$2:$S$62</definedName>
    <definedName name="kp_SumPg3">'MCC-2r page 1-6'!$T$2:$AA$62</definedName>
    <definedName name="kp_SumPg4">'MCC-2r page 1-6'!$AD$2:$AK$63</definedName>
    <definedName name="kp_SumPg5">'MCC-2r page 1-6'!$AL$2:$AR$62</definedName>
    <definedName name="l"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okup" localSheetId="5" hidden="1">{#N/A,#N/A,FALSE,"Coversheet";#N/A,#N/A,FALSE,"QA"}</definedName>
    <definedName name="lookup" hidden="1">{#N/A,#N/A,FALSE,"Coversheet";#N/A,#N/A,FALSE,"QA"}</definedName>
    <definedName name="Miller" localSheetId="5" hidden="1">{#N/A,#N/A,FALSE,"Expenditures";#N/A,#N/A,FALSE,"Property Placed In-Service";#N/A,#N/A,FALSE,"CWIP Balances"}</definedName>
    <definedName name="Miller" hidden="1">{#N/A,#N/A,FALSE,"Expenditures";#N/A,#N/A,FALSE,"Property Placed In-Service";#N/A,#N/A,FALSE,"CWIP Balances"}</definedName>
    <definedName name="new" localSheetId="5" hidden="1">{#N/A,#N/A,FALSE,"Summ";#N/A,#N/A,FALSE,"General"}</definedName>
    <definedName name="new" hidden="1">{#N/A,#N/A,FALSE,"Summ";#N/A,#N/A,FALSE,"General"}</definedName>
    <definedName name="p" localSheetId="4"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6"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3">'EXHIBIT MCC-3r'!$A$1:$F$28,'EXHIBIT MCC-3r'!$G$1:$K$22,'EXHIBIT MCC-3r'!$L$1:$P$21</definedName>
    <definedName name="_xlnm.Print_Area" localSheetId="4">'EXHIBIT MCC-4r'!$A$1:$R$62</definedName>
    <definedName name="_xlnm.Print_Area" localSheetId="5">'EXHIBIT MCC-5r'!$A$1:$F$47</definedName>
    <definedName name="_xlnm.Print_Area" localSheetId="6">'EXHIBIT MCC-6'!$A$1:$AX$64</definedName>
    <definedName name="_xlnm.Print_Area" localSheetId="0">'MCC-2r page 1-6'!$A$1:$BB$65</definedName>
    <definedName name="_xlnm.Print_Area" localSheetId="2">'MCC-2r page 31-45'!$A$1:$E$35,'MCC-2r page 31-45'!$F$1:$J$28,'MCC-2r page 31-45'!$K$1:$O$29,'MCC-2r page 31-45'!$P$1:$T$21,'MCC-2r page 31-45'!$U$1:$Y$68,'MCC-2r page 31-45'!$Z$1:$AD$66,'MCC-2r page 31-45'!$AE$1:$AI$29,'MCC-2r page 31-45'!$AJ$1:$AN$32,'MCC-2r page 31-45'!$AO$1:$AS$40,'MCC-2r page 31-45'!$AT$1:$AX$21,'MCC-2r page 31-45'!$AY$1:$BC$31,'MCC-2r page 31-45'!$BD$1:$BH$25,'MCC-2r page 31-45'!$BI$1:$BM$96</definedName>
    <definedName name="_xlnm.Print_Area" localSheetId="1">'MCC-2r page 7-30'!$A$1:$E$49,'MCC-2r page 7-30'!$F$1:$L$54,'MCC-2r page 7-30'!$M$1:$Q$51,'MCC-2r page 7-30'!$R$1:$U$33,'MCC-2r page 7-30'!$V$1:$Y$25,'MCC-2r page 7-30'!$Z$1:$AD$43,'MCC-2r page 7-30'!$AJ$1:$AN$21,'MCC-2r page 7-30'!$AO$1:$AW$31,'MCC-2r page 7-30'!$AX$1:$BB$33,'MCC-2r page 7-30'!$BC$1:$BG$20,'MCC-2r page 7-30'!$BH$1:$BK$17,'MCC-2r page 7-30'!$BL$1:$BO$32,'MCC-2r page 7-30'!$BP$1:$BS$31,'MCC-2r page 7-30'!$BT$1:$BX$20,'MCC-2r page 7-30'!$BY$1:$CC$18,'MCC-2r page 7-30'!$CD$1:$CH$31,'MCC-2r page 7-30'!$CI$1:$CM$37,'MCC-2r page 7-30'!$CN$1:$CR$25,'MCC-2r page 7-30'!$CS$1:$CW$22,'MCC-2r page 7-30'!$CX$1:$DB$27,'MCC-2r page 7-30'!$DC$1:$DG$35,'MCC-2r page 7-30'!$DH$1:$DL$19,'MCC-2r page 7-30'!$AE$1:$AI$30,'MCC-2r page 7-30'!$DM$1:$DP$20</definedName>
    <definedName name="_xlnm.Print_Titles" localSheetId="5">'EXHIBIT MCC-5r'!$1:$12</definedName>
    <definedName name="_xlnm.Print_Titles" localSheetId="6">'EXHIBIT MCC-6'!$A:$B</definedName>
    <definedName name="_xlnm.Print_Titles" localSheetId="0">'MCC-2r page 1-6'!$A:$B</definedName>
    <definedName name="_xlnm.Print_Titles" localSheetId="2">'MCC-2r page 31-45'!$1:$11</definedName>
    <definedName name="qqq" localSheetId="5" hidden="1">{#N/A,#N/A,FALSE,"schA"}</definedName>
    <definedName name="qqq" hidden="1">{#N/A,#N/A,FALSE,"schA"}</definedName>
    <definedName name="ResRCF">[7]INPUTS!$F$44</definedName>
    <definedName name="ResUnc">[7]INPUTS!$F$39</definedName>
    <definedName name="ROD">[7]INPUTS!$F$30</definedName>
    <definedName name="ROR">'EXHIBIT MCC-3r'!$K$16</definedName>
    <definedName name="six" localSheetId="5" hidden="1">{#N/A,#N/A,FALSE,"Drill Sites";"WP 212",#N/A,FALSE,"MWAG EOR";"WP 213",#N/A,FALSE,"MWAG EOR";#N/A,#N/A,FALSE,"Misc. Facility";#N/A,#N/A,FALSE,"WWTP"}</definedName>
    <definedName name="six" hidden="1">{#N/A,#N/A,FALSE,"Drill Sites";"WP 212",#N/A,FALSE,"MWAG EOR";"WP 213",#N/A,FALSE,"MWAG EOR";#N/A,#N/A,FALSE,"Misc. Facility";#N/A,#N/A,FALSE,"WWTP"}</definedName>
    <definedName name="STAX">[7]INPUTS!$F$34</definedName>
    <definedName name="t" localSheetId="4" hidden="1">{#N/A,#N/A,FALSE,"CESTSUM";#N/A,#N/A,FALSE,"est sum A";#N/A,#N/A,FALSE,"est detail A"}</definedName>
    <definedName name="t" localSheetId="5" hidden="1">{#N/A,#N/A,FALSE,"CESTSUM";#N/A,#N/A,FALSE,"est sum A";#N/A,#N/A,FALSE,"est detail A"}</definedName>
    <definedName name="t" localSheetId="6" hidden="1">{#N/A,#N/A,FALSE,"CESTSUM";#N/A,#N/A,FALSE,"est sum A";#N/A,#N/A,FALSE,"est detail A"}</definedName>
    <definedName name="t" hidden="1">{#N/A,#N/A,FALSE,"CESTSUM";#N/A,#N/A,FALSE,"est sum A";#N/A,#N/A,FALSE,"est detail A"}</definedName>
    <definedName name="TEMP" localSheetId="5" hidden="1">{#N/A,#N/A,FALSE,"Summ";#N/A,#N/A,FALSE,"General"}</definedName>
    <definedName name="TEMP" hidden="1">{#N/A,#N/A,FALSE,"Summ";#N/A,#N/A,FALSE,"General"}</definedName>
    <definedName name="Temp1" localSheetId="5" hidden="1">{#N/A,#N/A,FALSE,"CESTSUM";#N/A,#N/A,FALSE,"est sum A";#N/A,#N/A,FALSE,"est detail A"}</definedName>
    <definedName name="Temp1" hidden="1">{#N/A,#N/A,FALSE,"CESTSUM";#N/A,#N/A,FALSE,"est sum A";#N/A,#N/A,FALSE,"est detail A"}</definedName>
    <definedName name="TESTYEAR">'[9] Page 17-37'!$A$7</definedName>
    <definedName name="u" localSheetId="5" hidden="1">{#N/A,#N/A,FALSE,"Summ";#N/A,#N/A,FALSE,"General"}</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5" hidden="1">{#N/A,#N/A,FALSE,"Coversheet";#N/A,#N/A,FALSE,"QA"}</definedName>
    <definedName name="v" hidden="1">{#N/A,#N/A,FALSE,"Coversheet";#N/A,#N/A,FALSE,"QA"}</definedName>
    <definedName name="w" localSheetId="5" hidden="1">{#N/A,#N/A,FALSE,"Schedule F";#N/A,#N/A,FALSE,"Schedule G"}</definedName>
    <definedName name="w" hidden="1">{#N/A,#N/A,FALSE,"Schedule F";#N/A,#N/A,FALSE,"Schedule G"}</definedName>
    <definedName name="we" localSheetId="5" hidden="1">{#N/A,#N/A,FALSE,"Pg 6b CustCount_Gas";#N/A,#N/A,FALSE,"QA";#N/A,#N/A,FALSE,"Report";#N/A,#N/A,FALSE,"forecast"}</definedName>
    <definedName name="we" hidden="1">{#N/A,#N/A,FALSE,"Pg 6b CustCount_Gas";#N/A,#N/A,FALSE,"QA";#N/A,#N/A,FALSE,"Report";#N/A,#N/A,FALSE,"forecast"}</definedName>
    <definedName name="WH" localSheetId="5" hidden="1">{#N/A,#N/A,FALSE,"Coversheet";#N/A,#N/A,FALSE,"QA"}</definedName>
    <definedName name="WH" hidden="1">{#N/A,#N/A,FALSE,"Coversheet";#N/A,#N/A,FALSE,"QA"}</definedName>
    <definedName name="wrn.1._.Bi._.Monthly._.CR." localSheetId="5"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AAI." localSheetId="5" hidden="1">{#N/A,#N/A,FALSE,"CRPT";#N/A,#N/A,FALSE,"TREND";#N/A,#N/A,FALSE,"%Curve"}</definedName>
    <definedName name="wrn.AAI." hidden="1">{#N/A,#N/A,FALSE,"CRPT";#N/A,#N/A,FALSE,"TREND";#N/A,#N/A,FALSE,"%Curve"}</definedName>
    <definedName name="wrn.AAI._.Report." localSheetId="5" hidden="1">{#N/A,#N/A,FALSE,"CRPT";#N/A,#N/A,FALSE,"TREND";#N/A,#N/A,FALSE,"% CURVE"}</definedName>
    <definedName name="wrn.AAI._.Report." hidden="1">{#N/A,#N/A,FALSE,"CRPT";#N/A,#N/A,FALSE,"TREND";#N/A,#N/A,FALSE,"% CURVE"}</definedName>
    <definedName name="wrn.Anvil." localSheetId="5"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Customer._.Counts._.Electric." localSheetId="4"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6"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4" hidden="1">{#N/A,#N/A,FALSE,"Pg 6b CustCount_Gas";#N/A,#N/A,FALSE,"QA";#N/A,#N/A,FALSE,"Report";#N/A,#N/A,FALSE,"forecast"}</definedName>
    <definedName name="wrn.Customer._.Counts._.Gas." localSheetId="5" hidden="1">{#N/A,#N/A,FALSE,"Pg 6b CustCount_Gas";#N/A,#N/A,FALSE,"QA";#N/A,#N/A,FALSE,"Report";#N/A,#N/A,FALSE,"forecast"}</definedName>
    <definedName name="wrn.Customer._.Counts._.Gas." localSheetId="6" hidden="1">{#N/A,#N/A,FALSE,"Pg 6b CustCount_Gas";#N/A,#N/A,FALSE,"QA";#N/A,#N/A,FALSE,"Report";#N/A,#N/A,FALSE,"forecast"}</definedName>
    <definedName name="wrn.Customer._.Counts._.Gas." hidden="1">{#N/A,#N/A,FALSE,"Pg 6b CustCount_Gas";#N/A,#N/A,FALSE,"QA";#N/A,#N/A,FALSE,"Report";#N/A,#N/A,FALSE,"forecast"}</definedName>
    <definedName name="wrn.ECR." localSheetId="5" hidden="1">{#N/A,#N/A,FALSE,"schA"}</definedName>
    <definedName name="wrn.ECR." hidden="1">{#N/A,#N/A,FALSE,"schA"}</definedName>
    <definedName name="wrn.ESTIMATE." localSheetId="5" hidden="1">{#N/A,#N/A,FALSE,"CESTSUM";#N/A,#N/A,FALSE,"est sum A";#N/A,#N/A,FALSE,"est detail A"}</definedName>
    <definedName name="wrn.ESTIMATE." hidden="1">{#N/A,#N/A,FALSE,"CESTSUM";#N/A,#N/A,FALSE,"est sum A";#N/A,#N/A,FALSE,"est detail A"}</definedName>
    <definedName name="wrn.Fundamental." localSheetId="4" hidden="1">{#N/A,#N/A,TRUE,"CoverPage";#N/A,#N/A,TRUE,"Gas";#N/A,#N/A,TRUE,"Power";#N/A,#N/A,TRUE,"Historical DJ Mthly Prices"}</definedName>
    <definedName name="wrn.Fundamental." localSheetId="5" hidden="1">{#N/A,#N/A,TRUE,"CoverPage";#N/A,#N/A,TRUE,"Gas";#N/A,#N/A,TRUE,"Power";#N/A,#N/A,TRUE,"Historical DJ Mthly Prices"}</definedName>
    <definedName name="wrn.Fundamental." localSheetId="6" hidden="1">{#N/A,#N/A,TRUE,"CoverPage";#N/A,#N/A,TRUE,"Gas";#N/A,#N/A,TRUE,"Power";#N/A,#N/A,TRUE,"Historical DJ Mthly Prices"}</definedName>
    <definedName name="wrn.Fundamental." hidden="1">{#N/A,#N/A,TRUE,"CoverPage";#N/A,#N/A,TRUE,"Gas";#N/A,#N/A,TRUE,"Power";#N/A,#N/A,TRUE,"Historical DJ Mthly Prices"}</definedName>
    <definedName name="wrn.IEO." localSheetId="5" hidden="1">{#N/A,#N/A,FALSE,"SUMMARY";#N/A,#N/A,FALSE,"AE7616";#N/A,#N/A,FALSE,"AE7617";#N/A,#N/A,FALSE,"AE7618";#N/A,#N/A,FALSE,"AE7619"}</definedName>
    <definedName name="wrn.IEO." hidden="1">{#N/A,#N/A,FALSE,"SUMMARY";#N/A,#N/A,FALSE,"AE7616";#N/A,#N/A,FALSE,"AE7617";#N/A,#N/A,FALSE,"AE7618";#N/A,#N/A,FALSE,"AE7619"}</definedName>
    <definedName name="wrn.Incentive._.Overhead." localSheetId="4" hidden="1">{#N/A,#N/A,FALSE,"Coversheet";#N/A,#N/A,FALSE,"QA"}</definedName>
    <definedName name="wrn.Incentive._.Overhead." localSheetId="5" hidden="1">{#N/A,#N/A,FALSE,"Coversheet";#N/A,#N/A,FALSE,"QA"}</definedName>
    <definedName name="wrn.Incentive._.Overhead." localSheetId="6" hidden="1">{#N/A,#N/A,FALSE,"Coversheet";#N/A,#N/A,FALSE,"QA"}</definedName>
    <definedName name="wrn.Incentive._.Overhead." hidden="1">{#N/A,#N/A,FALSE,"Coversheet";#N/A,#N/A,FALSE,"QA"}</definedName>
    <definedName name="wrn.limit_reports." localSheetId="4" hidden="1">{#N/A,#N/A,FALSE,"Schedule F";#N/A,#N/A,FALSE,"Schedule G"}</definedName>
    <definedName name="wrn.limit_reports." localSheetId="5" hidden="1">{#N/A,#N/A,FALSE,"Schedule F";#N/A,#N/A,FALSE,"Schedule G"}</definedName>
    <definedName name="wrn.limit_reports." localSheetId="6" hidden="1">{#N/A,#N/A,FALSE,"Schedule F";#N/A,#N/A,FALSE,"Schedule G"}</definedName>
    <definedName name="wrn.limit_reports." hidden="1">{#N/A,#N/A,FALSE,"Schedule F";#N/A,#N/A,FALSE,"Schedule G"}</definedName>
    <definedName name="wrn.MARGIN_WO_QTR." localSheetId="4" hidden="1">{#N/A,#N/A,FALSE,"Month ";#N/A,#N/A,FALSE,"YTD";#N/A,#N/A,FALSE,"12 mo ended"}</definedName>
    <definedName name="wrn.MARGIN_WO_QTR." localSheetId="5" hidden="1">{#N/A,#N/A,FALSE,"Month ";#N/A,#N/A,FALSE,"YTD";#N/A,#N/A,FALSE,"12 mo ended"}</definedName>
    <definedName name="wrn.MARGIN_WO_QTR." localSheetId="6" hidden="1">{#N/A,#N/A,FALSE,"Month ";#N/A,#N/A,FALSE,"YTD";#N/A,#N/A,FALSE,"12 mo ended"}</definedName>
    <definedName name="wrn.MARGIN_WO_QTR." hidden="1">{#N/A,#N/A,FALSE,"Month ";#N/A,#N/A,FALSE,"YTD";#N/A,#N/A,FALSE,"12 mo ended"}</definedName>
    <definedName name="wrn.Municipal._.Reports." localSheetId="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6"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localSheetId="5" hidden="1">{#N/A,#N/A,FALSE,"BASE";#N/A,#N/A,FALSE,"LOOPS";#N/A,#N/A,FALSE,"PLC"}</definedName>
    <definedName name="wrn.Project._.Services." hidden="1">{#N/A,#N/A,FALSE,"BASE";#N/A,#N/A,FALSE,"LOOPS";#N/A,#N/A,FALSE,"PLC"}</definedName>
    <definedName name="wrn.SCHEDULE." localSheetId="5" hidden="1">{#N/A,#N/A,FALSE,"7617 Fab";#N/A,#N/A,FALSE,"7617 NSK"}</definedName>
    <definedName name="wrn.SCHEDULE." hidden="1">{#N/A,#N/A,FALSE,"7617 Fab";#N/A,#N/A,FALSE,"7617 NSK"}</definedName>
    <definedName name="wrn.SLB." localSheetId="5"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4" hidden="1">{#N/A,#N/A,FALSE,"2002 Small Tool OH";#N/A,#N/A,FALSE,"QA"}</definedName>
    <definedName name="wrn.Small._.Tools._.Overhead." localSheetId="5" hidden="1">{#N/A,#N/A,FALSE,"2002 Small Tool OH";#N/A,#N/A,FALSE,"QA"}</definedName>
    <definedName name="wrn.Small._.Tools._.Overhead." localSheetId="6" hidden="1">{#N/A,#N/A,FALSE,"2002 Small Tool OH";#N/A,#N/A,FALSE,"QA"}</definedName>
    <definedName name="wrn.Small._.Tools._.Overhead." hidden="1">{#N/A,#N/A,FALSE,"2002 Small Tool OH";#N/A,#N/A,FALSE,"QA"}</definedName>
    <definedName name="wrn.Summary." localSheetId="5" hidden="1">{#N/A,#N/A,FALSE,"Summ";#N/A,#N/A,FALSE,"General"}</definedName>
    <definedName name="wrn.Summary." hidden="1">{#N/A,#N/A,FALSE,"Summ";#N/A,#N/A,FALSE,"General"}</definedName>
    <definedName name="wrn.USIM_Data." localSheetId="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5"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5" hidden="1">{#N/A,#N/A,FALSE,"Expenditures";#N/A,#N/A,FALSE,"Property Placed In-Service";#N/A,#N/A,FALSE,"CWIP Balances"}</definedName>
    <definedName name="wrn.USIM_Data_Abbrev3." hidden="1">{#N/A,#N/A,FALSE,"Expenditures";#N/A,#N/A,FALSE,"Property Placed In-Service";#N/A,#N/A,FALSE,"CWIP Balances"}</definedName>
    <definedName name="www" localSheetId="5" hidden="1">{#N/A,#N/A,FALSE,"schA"}</definedName>
    <definedName name="www" hidden="1">{#N/A,#N/A,FALSE,"schA"}</definedName>
    <definedName name="x" localSheetId="5" hidden="1">{#N/A,#N/A,FALSE,"Coversheet";#N/A,#N/A,FALSE,"QA"}</definedName>
    <definedName name="x" hidden="1">{#N/A,#N/A,FALSE,"Coversheet";#N/A,#N/A,FALSE,"QA"}</definedName>
    <definedName name="y" localSheetId="4"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6"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z" localSheetId="5" hidden="1">{#N/A,#N/A,FALSE,"Coversheet";#N/A,#N/A,FALSE,"QA"}</definedName>
    <definedName name="z" hidden="1">{#N/A,#N/A,FALSE,"Coversheet";#N/A,#N/A,FALSE,"QA"}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 i="7" l="1"/>
  <c r="Y1" i="7" s="1"/>
  <c r="Q1" i="7" s="1"/>
  <c r="I1" i="7" s="1"/>
  <c r="AN1" i="7"/>
  <c r="AN2" i="7"/>
  <c r="AG2" i="7" s="1"/>
  <c r="Y2" i="7" s="1"/>
  <c r="Q2" i="7" s="1"/>
  <c r="I2" i="7" s="1"/>
  <c r="AX2" i="7"/>
  <c r="I5" i="7"/>
  <c r="Q5" i="7"/>
  <c r="Y5" i="7"/>
  <c r="AG5" i="7"/>
  <c r="AN5" i="7"/>
  <c r="E8" i="7"/>
  <c r="J8" i="7"/>
  <c r="R8" i="7"/>
  <c r="Z8" i="7"/>
  <c r="AH8" i="7"/>
  <c r="AQ8" i="7"/>
  <c r="AS15" i="7"/>
  <c r="A18" i="7"/>
  <c r="A19" i="7" s="1"/>
  <c r="A20" i="7" s="1"/>
  <c r="A21" i="7" s="1"/>
  <c r="A22" i="7" s="1"/>
  <c r="AM18" i="7"/>
  <c r="AN18" i="7"/>
  <c r="AO18" i="7"/>
  <c r="AP18" i="7"/>
  <c r="AQ18" i="7" s="1"/>
  <c r="AS18" i="7" s="1"/>
  <c r="AM19" i="7"/>
  <c r="AP19" i="7" s="1"/>
  <c r="AP22" i="7" s="1"/>
  <c r="AO19" i="7"/>
  <c r="AW19" i="7"/>
  <c r="AM20" i="7"/>
  <c r="AN20" i="7"/>
  <c r="AO20" i="7"/>
  <c r="AP20" i="7"/>
  <c r="AQ20" i="7" s="1"/>
  <c r="AS20" i="7" s="1"/>
  <c r="AW20" i="7"/>
  <c r="AM21" i="7"/>
  <c r="AN21" i="7"/>
  <c r="AO21" i="7"/>
  <c r="AP21" i="7"/>
  <c r="AQ21" i="7" s="1"/>
  <c r="AS21" i="7" s="1"/>
  <c r="AW21" i="7"/>
  <c r="C22" i="7"/>
  <c r="D22" i="7"/>
  <c r="E22" i="7"/>
  <c r="F22" i="7"/>
  <c r="F50" i="7" s="1"/>
  <c r="G22" i="7"/>
  <c r="H22" i="7"/>
  <c r="I22" i="7"/>
  <c r="K22" i="7"/>
  <c r="L22" i="7"/>
  <c r="M22" i="7"/>
  <c r="N22" i="7"/>
  <c r="O22" i="7"/>
  <c r="P22" i="7"/>
  <c r="Q22" i="7"/>
  <c r="R22" i="7"/>
  <c r="S22" i="7"/>
  <c r="T22" i="7"/>
  <c r="U22" i="7"/>
  <c r="V22" i="7"/>
  <c r="W22" i="7"/>
  <c r="X22" i="7"/>
  <c r="Y22" i="7"/>
  <c r="Z22" i="7"/>
  <c r="AA22" i="7"/>
  <c r="AC22" i="7"/>
  <c r="AD22" i="7"/>
  <c r="AE22" i="7"/>
  <c r="AF22" i="7"/>
  <c r="AF50" i="7" s="1"/>
  <c r="AG22" i="7"/>
  <c r="AH22" i="7"/>
  <c r="AI22" i="7"/>
  <c r="AJ22" i="7"/>
  <c r="AJ50" i="7" s="1"/>
  <c r="AK22" i="7"/>
  <c r="AL22" i="7"/>
  <c r="AR22" i="7"/>
  <c r="AR50" i="7" s="1"/>
  <c r="A23" i="7"/>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M27" i="7"/>
  <c r="AN27" i="7"/>
  <c r="AO27" i="7"/>
  <c r="AP27" i="7"/>
  <c r="AQ27" i="7" s="1"/>
  <c r="AW27" i="7"/>
  <c r="AM28" i="7"/>
  <c r="AN28" i="7"/>
  <c r="AO28" i="7"/>
  <c r="AP28" i="7"/>
  <c r="AQ28" i="7" s="1"/>
  <c r="AS28" i="7" s="1"/>
  <c r="AW28" i="7"/>
  <c r="AM29" i="7"/>
  <c r="AN29" i="7"/>
  <c r="AO29" i="7"/>
  <c r="AP29" i="7"/>
  <c r="AQ29" i="7" s="1"/>
  <c r="AS29" i="7" s="1"/>
  <c r="AW29" i="7"/>
  <c r="AM30" i="7"/>
  <c r="AN30" i="7"/>
  <c r="AO30" i="7"/>
  <c r="AP30" i="7"/>
  <c r="AQ30" i="7" s="1"/>
  <c r="AS30" i="7" s="1"/>
  <c r="AW30" i="7"/>
  <c r="C31" i="7"/>
  <c r="D31" i="7"/>
  <c r="AM31" i="7" s="1"/>
  <c r="E31" i="7"/>
  <c r="F31" i="7"/>
  <c r="G31" i="7"/>
  <c r="H31" i="7"/>
  <c r="I31" i="7"/>
  <c r="J31" i="7"/>
  <c r="K31" i="7"/>
  <c r="L31" i="7"/>
  <c r="M31" i="7"/>
  <c r="N31" i="7"/>
  <c r="O31" i="7"/>
  <c r="P31" i="7"/>
  <c r="Q31" i="7"/>
  <c r="R31" i="7"/>
  <c r="S31" i="7"/>
  <c r="T31" i="7"/>
  <c r="U31" i="7"/>
  <c r="V31" i="7"/>
  <c r="W31" i="7"/>
  <c r="X31" i="7"/>
  <c r="Y31" i="7"/>
  <c r="Z31" i="7"/>
  <c r="AA31" i="7"/>
  <c r="AB31" i="7"/>
  <c r="AC31" i="7"/>
  <c r="AD31" i="7"/>
  <c r="AE31" i="7"/>
  <c r="AF31" i="7"/>
  <c r="AG31" i="7"/>
  <c r="AH31" i="7"/>
  <c r="AI31" i="7"/>
  <c r="AJ31" i="7"/>
  <c r="AK31" i="7"/>
  <c r="AL31" i="7"/>
  <c r="AO31" i="7"/>
  <c r="AP31" i="7"/>
  <c r="AR31" i="7"/>
  <c r="AW31" i="7"/>
  <c r="AM33" i="7"/>
  <c r="AN33" i="7"/>
  <c r="AO33" i="7"/>
  <c r="AP33" i="7"/>
  <c r="AQ33" i="7" s="1"/>
  <c r="AS33" i="7"/>
  <c r="AW33" i="7"/>
  <c r="AM34" i="7"/>
  <c r="AN34" i="7"/>
  <c r="AO34" i="7"/>
  <c r="AP34" i="7"/>
  <c r="AQ34" i="7" s="1"/>
  <c r="AS34" i="7"/>
  <c r="AW34" i="7"/>
  <c r="AM35" i="7"/>
  <c r="AN35" i="7"/>
  <c r="AO35" i="7"/>
  <c r="AP35" i="7"/>
  <c r="AQ35" i="7" s="1"/>
  <c r="AS35" i="7"/>
  <c r="AW35" i="7"/>
  <c r="AM36" i="7"/>
  <c r="AN36" i="7"/>
  <c r="AO36" i="7"/>
  <c r="AP36" i="7"/>
  <c r="AQ36" i="7" s="1"/>
  <c r="AS36" i="7"/>
  <c r="AW36" i="7"/>
  <c r="AM37" i="7"/>
  <c r="AN37" i="7"/>
  <c r="AO37" i="7"/>
  <c r="AP37" i="7"/>
  <c r="AQ37" i="7" s="1"/>
  <c r="AS37" i="7"/>
  <c r="AW37" i="7"/>
  <c r="AM38" i="7"/>
  <c r="AN38" i="7"/>
  <c r="AO38" i="7"/>
  <c r="AP38" i="7"/>
  <c r="AQ38" i="7" s="1"/>
  <c r="AS38" i="7"/>
  <c r="AW38" i="7"/>
  <c r="AM39" i="7"/>
  <c r="AN39" i="7"/>
  <c r="AO39" i="7"/>
  <c r="AP39" i="7"/>
  <c r="AQ39" i="7" s="1"/>
  <c r="AS39" i="7"/>
  <c r="AM40" i="7"/>
  <c r="AO40" i="7"/>
  <c r="AW40" i="7"/>
  <c r="AM41" i="7"/>
  <c r="AO41" i="7"/>
  <c r="AW41" i="7"/>
  <c r="AM42" i="7"/>
  <c r="AO42" i="7"/>
  <c r="AW42" i="7"/>
  <c r="AM43" i="7"/>
  <c r="AO43" i="7"/>
  <c r="AW43" i="7"/>
  <c r="AM44" i="7"/>
  <c r="AO44" i="7"/>
  <c r="AW44" i="7"/>
  <c r="AM45" i="7"/>
  <c r="AO45" i="7"/>
  <c r="AM46" i="7"/>
  <c r="AN46" i="7"/>
  <c r="AO46" i="7"/>
  <c r="AP46" i="7"/>
  <c r="AQ46" i="7" s="1"/>
  <c r="AS46" i="7"/>
  <c r="AW46" i="7"/>
  <c r="AM47" i="7"/>
  <c r="AN47" i="7"/>
  <c r="AO47" i="7"/>
  <c r="AP47" i="7"/>
  <c r="AQ47" i="7" s="1"/>
  <c r="AS47" i="7" s="1"/>
  <c r="AW47" i="7"/>
  <c r="C48" i="7"/>
  <c r="D48" i="7"/>
  <c r="E48" i="7"/>
  <c r="F48" i="7"/>
  <c r="G48" i="7"/>
  <c r="H48" i="7"/>
  <c r="I48" i="7"/>
  <c r="J48" i="7"/>
  <c r="J50" i="7" s="1"/>
  <c r="K48" i="7"/>
  <c r="L48" i="7"/>
  <c r="L50" i="7" s="1"/>
  <c r="M48" i="7"/>
  <c r="N48" i="7"/>
  <c r="N50" i="7" s="1"/>
  <c r="O48" i="7"/>
  <c r="P48" i="7"/>
  <c r="P50" i="7" s="1"/>
  <c r="Q48" i="7"/>
  <c r="R48" i="7"/>
  <c r="R50" i="7" s="1"/>
  <c r="S48" i="7"/>
  <c r="T48" i="7"/>
  <c r="T50" i="7" s="1"/>
  <c r="U48" i="7"/>
  <c r="V48" i="7"/>
  <c r="V50" i="7" s="1"/>
  <c r="W48" i="7"/>
  <c r="X48" i="7"/>
  <c r="X50" i="7" s="1"/>
  <c r="Y48" i="7"/>
  <c r="Z48" i="7"/>
  <c r="Z50" i="7" s="1"/>
  <c r="AA48" i="7"/>
  <c r="AB48" i="7"/>
  <c r="AB50" i="7" s="1"/>
  <c r="AC48" i="7"/>
  <c r="AD48" i="7"/>
  <c r="AE48" i="7"/>
  <c r="AF48" i="7"/>
  <c r="AG48" i="7"/>
  <c r="AH48" i="7"/>
  <c r="AI48" i="7"/>
  <c r="AJ48" i="7"/>
  <c r="AK48" i="7"/>
  <c r="AL48" i="7"/>
  <c r="AR48" i="7"/>
  <c r="C50" i="7"/>
  <c r="E50" i="7"/>
  <c r="G50" i="7"/>
  <c r="I50" i="7"/>
  <c r="K50" i="7"/>
  <c r="M50" i="7"/>
  <c r="O50" i="7"/>
  <c r="Q50" i="7"/>
  <c r="S50" i="7"/>
  <c r="U50" i="7"/>
  <c r="W50" i="7"/>
  <c r="Y50" i="7"/>
  <c r="AA50" i="7"/>
  <c r="AC50" i="7"/>
  <c r="AE50" i="7"/>
  <c r="AG50" i="7"/>
  <c r="AI50" i="7"/>
  <c r="AK50" i="7"/>
  <c r="G52" i="7"/>
  <c r="AE52" i="7"/>
  <c r="AG52" i="7"/>
  <c r="AI52" i="7"/>
  <c r="AK52" i="7"/>
  <c r="P57" i="7"/>
  <c r="AL57" i="7"/>
  <c r="AO57" i="7"/>
  <c r="AM58" i="7"/>
  <c r="AO58" i="7"/>
  <c r="AM59" i="7"/>
  <c r="AN59" i="7"/>
  <c r="AO59" i="7"/>
  <c r="AP59" i="7"/>
  <c r="AQ59" i="7" s="1"/>
  <c r="AS59" i="7" s="1"/>
  <c r="AM60" i="7"/>
  <c r="AO60" i="7"/>
  <c r="AM61" i="7"/>
  <c r="AN61" i="7"/>
  <c r="AO61" i="7"/>
  <c r="AP61" i="7"/>
  <c r="AQ61" i="7" s="1"/>
  <c r="AS61" i="7" s="1"/>
  <c r="AM62" i="7"/>
  <c r="AO62" i="7"/>
  <c r="C63" i="7"/>
  <c r="C52" i="7" s="1"/>
  <c r="AO52" i="7" s="1"/>
  <c r="D63" i="7"/>
  <c r="E63" i="7"/>
  <c r="F63" i="7"/>
  <c r="G63" i="7"/>
  <c r="H63" i="7"/>
  <c r="I63" i="7"/>
  <c r="I52" i="7" s="1"/>
  <c r="J63" i="7"/>
  <c r="K63" i="7"/>
  <c r="L63" i="7"/>
  <c r="M63" i="7"/>
  <c r="N63" i="7"/>
  <c r="O63" i="7"/>
  <c r="P63" i="7"/>
  <c r="Q63" i="7"/>
  <c r="R63" i="7"/>
  <c r="S63" i="7"/>
  <c r="T63" i="7"/>
  <c r="U63" i="7"/>
  <c r="V63" i="7"/>
  <c r="W63" i="7"/>
  <c r="X63" i="7"/>
  <c r="X52" i="7" s="1"/>
  <c r="Y63" i="7"/>
  <c r="Y52" i="7" s="1"/>
  <c r="Z63" i="7"/>
  <c r="AA63" i="7"/>
  <c r="AB63" i="7"/>
  <c r="AC63" i="7"/>
  <c r="AD63" i="7"/>
  <c r="AE63" i="7"/>
  <c r="AF63" i="7"/>
  <c r="AF52" i="7" s="1"/>
  <c r="AG63" i="7"/>
  <c r="AH63" i="7"/>
  <c r="AH52" i="7" s="1"/>
  <c r="AI63" i="7"/>
  <c r="AJ63" i="7"/>
  <c r="AJ52" i="7" s="1"/>
  <c r="AK63" i="7"/>
  <c r="F2" i="6"/>
  <c r="D13" i="6"/>
  <c r="D19" i="6"/>
  <c r="D23" i="6"/>
  <c r="E25" i="6"/>
  <c r="D25" i="6" s="1"/>
  <c r="D30" i="6"/>
  <c r="D32" i="6"/>
  <c r="D34" i="6"/>
  <c r="D39" i="6"/>
  <c r="C40" i="6"/>
  <c r="E40" i="6"/>
  <c r="D41" i="6"/>
  <c r="C42" i="6"/>
  <c r="E42" i="6"/>
  <c r="D43" i="6"/>
  <c r="C44" i="6"/>
  <c r="E44" i="6"/>
  <c r="R2" i="5"/>
  <c r="U10" i="5"/>
  <c r="V10" i="5"/>
  <c r="W10" i="5"/>
  <c r="I11" i="5"/>
  <c r="I14" i="5" s="1"/>
  <c r="U11" i="5"/>
  <c r="V11" i="5"/>
  <c r="W11" i="5"/>
  <c r="AA12" i="5"/>
  <c r="AB12" i="5"/>
  <c r="I13" i="5"/>
  <c r="N13" i="5"/>
  <c r="V13" i="5"/>
  <c r="W13" i="5"/>
  <c r="AB13" i="5"/>
  <c r="B14" i="5"/>
  <c r="B15" i="5" s="1"/>
  <c r="N14" i="5"/>
  <c r="V14" i="5"/>
  <c r="AB14" i="5"/>
  <c r="N15" i="5"/>
  <c r="AB15" i="5" s="1"/>
  <c r="B16" i="5"/>
  <c r="B17" i="5" s="1"/>
  <c r="N17" i="5"/>
  <c r="AB17" i="5"/>
  <c r="B18" i="5"/>
  <c r="I18" i="5"/>
  <c r="B19" i="5"/>
  <c r="B20" i="5" s="1"/>
  <c r="B21" i="5" s="1"/>
  <c r="B22" i="5" s="1"/>
  <c r="B23" i="5" s="1"/>
  <c r="B24" i="5" s="1"/>
  <c r="B25" i="5" s="1"/>
  <c r="I19" i="5"/>
  <c r="N19" i="5"/>
  <c r="AB19" i="5" s="1"/>
  <c r="U19" i="5"/>
  <c r="V19" i="5"/>
  <c r="W19" i="5"/>
  <c r="X19" i="5" s="1"/>
  <c r="I20" i="5"/>
  <c r="N20" i="5"/>
  <c r="U20" i="5"/>
  <c r="V20" i="5"/>
  <c r="W20" i="5"/>
  <c r="AB20" i="5"/>
  <c r="I21" i="5"/>
  <c r="N21" i="5"/>
  <c r="AB21" i="5"/>
  <c r="I22" i="5"/>
  <c r="V22" i="5"/>
  <c r="W22" i="5"/>
  <c r="X22" i="5" s="1"/>
  <c r="I23" i="5"/>
  <c r="I24" i="5"/>
  <c r="N24" i="5"/>
  <c r="AB24" i="5"/>
  <c r="I25" i="5"/>
  <c r="N25" i="5"/>
  <c r="AB25" i="5" s="1"/>
  <c r="B26" i="5"/>
  <c r="B27" i="5" s="1"/>
  <c r="B28" i="5" s="1"/>
  <c r="I26" i="5"/>
  <c r="N26" i="5"/>
  <c r="AB26" i="5" s="1"/>
  <c r="I27" i="5"/>
  <c r="N27" i="5"/>
  <c r="AB27" i="5"/>
  <c r="I28" i="5"/>
  <c r="N28" i="5"/>
  <c r="X28" i="5"/>
  <c r="X32" i="5" s="1"/>
  <c r="AB28" i="5"/>
  <c r="B29" i="5"/>
  <c r="B30" i="5" s="1"/>
  <c r="B31" i="5" s="1"/>
  <c r="B32" i="5" s="1"/>
  <c r="B33" i="5" s="1"/>
  <c r="B34" i="5" s="1"/>
  <c r="I29" i="5"/>
  <c r="N29" i="5"/>
  <c r="AB29" i="5" s="1"/>
  <c r="I30" i="5"/>
  <c r="N30" i="5"/>
  <c r="AB30" i="5" s="1"/>
  <c r="X30" i="5"/>
  <c r="I31" i="5"/>
  <c r="X31" i="5"/>
  <c r="I32" i="5"/>
  <c r="N32" i="5"/>
  <c r="V32" i="5"/>
  <c r="AB32" i="5"/>
  <c r="I33" i="5"/>
  <c r="I34" i="5"/>
  <c r="AA35" i="5"/>
  <c r="AB35" i="5"/>
  <c r="I36" i="5"/>
  <c r="N36" i="5"/>
  <c r="AB36" i="5" s="1"/>
  <c r="X36" i="5"/>
  <c r="B37" i="5"/>
  <c r="I37" i="5"/>
  <c r="N37" i="5"/>
  <c r="AB37" i="5" s="1"/>
  <c r="B38" i="5"/>
  <c r="I38" i="5"/>
  <c r="X38" i="5"/>
  <c r="X40" i="5" s="1"/>
  <c r="B39" i="5"/>
  <c r="B40" i="5" s="1"/>
  <c r="B41" i="5" s="1"/>
  <c r="B42" i="5" s="1"/>
  <c r="B43" i="5" s="1"/>
  <c r="I39" i="5"/>
  <c r="N39" i="5"/>
  <c r="X39" i="5"/>
  <c r="AB39" i="5"/>
  <c r="I40" i="5"/>
  <c r="V40" i="5"/>
  <c r="I41" i="5"/>
  <c r="I42" i="5"/>
  <c r="I43" i="5"/>
  <c r="B44" i="5"/>
  <c r="B45" i="5" s="1"/>
  <c r="B46" i="5" s="1"/>
  <c r="B47" i="5" s="1"/>
  <c r="I44" i="5"/>
  <c r="I45" i="5"/>
  <c r="I46" i="5"/>
  <c r="I47" i="5"/>
  <c r="B48" i="5"/>
  <c r="I48" i="5"/>
  <c r="AA49" i="5"/>
  <c r="AB49" i="5"/>
  <c r="I50" i="5"/>
  <c r="I51" i="5"/>
  <c r="I52" i="5"/>
  <c r="AA53" i="5"/>
  <c r="AB53" i="5"/>
  <c r="AC53" i="5"/>
  <c r="F54" i="5"/>
  <c r="F55" i="5" s="1"/>
  <c r="G54" i="5"/>
  <c r="G55" i="5"/>
  <c r="J69" i="5"/>
  <c r="J71" i="5"/>
  <c r="J72" i="5"/>
  <c r="K1" i="4"/>
  <c r="P1" i="4"/>
  <c r="F2" i="4"/>
  <c r="P2" i="4" s="1"/>
  <c r="K2" i="4"/>
  <c r="A7" i="4"/>
  <c r="G7" i="4"/>
  <c r="L7" i="4"/>
  <c r="K13" i="4"/>
  <c r="X10" i="5" s="1"/>
  <c r="A14" i="4"/>
  <c r="K14" i="4"/>
  <c r="X11" i="5" s="1"/>
  <c r="A15" i="4"/>
  <c r="A16" i="4" s="1"/>
  <c r="A17" i="4" s="1"/>
  <c r="A18" i="4" s="1"/>
  <c r="K15" i="4"/>
  <c r="X13" i="5" s="1"/>
  <c r="M15" i="4"/>
  <c r="I16" i="4"/>
  <c r="K16" i="4"/>
  <c r="I18" i="4"/>
  <c r="J18" i="4"/>
  <c r="A19" i="4"/>
  <c r="A20" i="4" s="1"/>
  <c r="A21" i="4" s="1"/>
  <c r="A22" i="4" s="1"/>
  <c r="A23" i="4" s="1"/>
  <c r="A24" i="4" s="1"/>
  <c r="A25" i="4" s="1"/>
  <c r="I19" i="4"/>
  <c r="J19" i="4"/>
  <c r="K19" i="4"/>
  <c r="M19" i="4"/>
  <c r="I20" i="4"/>
  <c r="K20" i="4" s="1"/>
  <c r="J20" i="4"/>
  <c r="M20" i="4"/>
  <c r="M21" i="4"/>
  <c r="C42" i="4"/>
  <c r="C48" i="4"/>
  <c r="C49" i="4"/>
  <c r="C51" i="4"/>
  <c r="C53" i="4"/>
  <c r="C54" i="4"/>
  <c r="C56" i="4"/>
  <c r="C57" i="4"/>
  <c r="C58" i="4"/>
  <c r="C60" i="4"/>
  <c r="C64" i="4"/>
  <c r="C65" i="4"/>
  <c r="C67" i="4"/>
  <c r="C69" i="4"/>
  <c r="C70" i="4"/>
  <c r="C72" i="4"/>
  <c r="C73" i="4"/>
  <c r="C74" i="4"/>
  <c r="C76" i="4"/>
  <c r="C80" i="4"/>
  <c r="C81" i="4"/>
  <c r="C83" i="4"/>
  <c r="C85" i="4"/>
  <c r="C86" i="4"/>
  <c r="C88" i="4"/>
  <c r="C89" i="4"/>
  <c r="C90" i="4"/>
  <c r="C92" i="4"/>
  <c r="C96" i="4"/>
  <c r="C97" i="4"/>
  <c r="C99" i="4"/>
  <c r="C101" i="4"/>
  <c r="C102" i="4"/>
  <c r="C104" i="4"/>
  <c r="C105" i="4"/>
  <c r="C106" i="4"/>
  <c r="C108" i="4"/>
  <c r="C112" i="4"/>
  <c r="C113" i="4"/>
  <c r="C115" i="4"/>
  <c r="C117" i="4"/>
  <c r="C118" i="4"/>
  <c r="C120" i="4"/>
  <c r="C121" i="4"/>
  <c r="C122" i="4"/>
  <c r="C124" i="4"/>
  <c r="C128" i="4"/>
  <c r="C129" i="4"/>
  <c r="C131" i="4"/>
  <c r="C133" i="4"/>
  <c r="C134" i="4"/>
  <c r="C136" i="4"/>
  <c r="C137" i="4"/>
  <c r="C138" i="4"/>
  <c r="C140" i="4"/>
  <c r="C144" i="4"/>
  <c r="C145" i="4"/>
  <c r="C147" i="4"/>
  <c r="C149" i="4"/>
  <c r="C150" i="4"/>
  <c r="C152" i="4"/>
  <c r="C153" i="4"/>
  <c r="C154" i="4"/>
  <c r="C156" i="4"/>
  <c r="C160" i="4"/>
  <c r="C161" i="4"/>
  <c r="C163" i="4"/>
  <c r="C165" i="4"/>
  <c r="C166" i="4"/>
  <c r="C168" i="4"/>
  <c r="C169" i="4"/>
  <c r="C170" i="4"/>
  <c r="C172" i="4"/>
  <c r="C176" i="4"/>
  <c r="C177" i="4"/>
  <c r="C179" i="4"/>
  <c r="C181" i="4"/>
  <c r="C182" i="4"/>
  <c r="C184" i="4"/>
  <c r="C185" i="4"/>
  <c r="C186" i="4"/>
  <c r="C188" i="4"/>
  <c r="C192" i="4"/>
  <c r="C193" i="4"/>
  <c r="C195" i="4"/>
  <c r="C197" i="4"/>
  <c r="C198" i="4"/>
  <c r="C200" i="4"/>
  <c r="C201" i="4"/>
  <c r="C202" i="4"/>
  <c r="C204" i="4"/>
  <c r="C208" i="4"/>
  <c r="C209" i="4"/>
  <c r="C211" i="4"/>
  <c r="C213" i="4"/>
  <c r="C214" i="4"/>
  <c r="C216" i="4"/>
  <c r="C217" i="4"/>
  <c r="C218" i="4"/>
  <c r="C220" i="4"/>
  <c r="C224" i="4"/>
  <c r="C225" i="4"/>
  <c r="C227" i="4"/>
  <c r="C229" i="4"/>
  <c r="C230" i="4"/>
  <c r="C232" i="4"/>
  <c r="C233" i="4"/>
  <c r="C234" i="4"/>
  <c r="C236" i="4"/>
  <c r="C240" i="4"/>
  <c r="C241" i="4"/>
  <c r="C243" i="4"/>
  <c r="C245" i="4"/>
  <c r="C246" i="4"/>
  <c r="C248" i="4"/>
  <c r="C249" i="4"/>
  <c r="C250" i="4"/>
  <c r="C252" i="4"/>
  <c r="C256" i="4"/>
  <c r="C257" i="4"/>
  <c r="C259" i="4"/>
  <c r="C261" i="4"/>
  <c r="C262" i="4"/>
  <c r="C264" i="4"/>
  <c r="C265" i="4"/>
  <c r="C266" i="4"/>
  <c r="C268" i="4"/>
  <c r="C272" i="4"/>
  <c r="C273" i="4"/>
  <c r="C275" i="4"/>
  <c r="C277" i="4"/>
  <c r="C278" i="4"/>
  <c r="C280" i="4"/>
  <c r="C281" i="4"/>
  <c r="C282" i="4"/>
  <c r="C284" i="4"/>
  <c r="C288" i="4"/>
  <c r="C289" i="4"/>
  <c r="C291" i="4"/>
  <c r="C293" i="4"/>
  <c r="C294" i="4"/>
  <c r="C296" i="4"/>
  <c r="C297" i="4"/>
  <c r="C298" i="4"/>
  <c r="C300" i="4"/>
  <c r="C304" i="4"/>
  <c r="C305" i="4"/>
  <c r="C307" i="4"/>
  <c r="C309" i="4"/>
  <c r="C310" i="4"/>
  <c r="C312" i="4"/>
  <c r="C313" i="4"/>
  <c r="C314" i="4"/>
  <c r="C316" i="4"/>
  <c r="C320" i="4"/>
  <c r="C321" i="4"/>
  <c r="C323" i="4"/>
  <c r="C325" i="4"/>
  <c r="C326" i="4"/>
  <c r="C328" i="4"/>
  <c r="C329" i="4"/>
  <c r="C330" i="4"/>
  <c r="C332" i="4"/>
  <c r="C336" i="4"/>
  <c r="C337" i="4"/>
  <c r="C339" i="4"/>
  <c r="C341" i="4"/>
  <c r="C342" i="4"/>
  <c r="C344" i="4"/>
  <c r="C345" i="4"/>
  <c r="C346" i="4"/>
  <c r="C348" i="4"/>
  <c r="C352" i="4"/>
  <c r="C353" i="4"/>
  <c r="C355" i="4"/>
  <c r="C357" i="4"/>
  <c r="C358" i="4"/>
  <c r="C360" i="4"/>
  <c r="C361" i="4"/>
  <c r="C362" i="4"/>
  <c r="C364" i="4"/>
  <c r="C368" i="4"/>
  <c r="C369" i="4"/>
  <c r="C371" i="4"/>
  <c r="C373" i="4"/>
  <c r="C374" i="4"/>
  <c r="C376" i="4"/>
  <c r="C377" i="4"/>
  <c r="C378" i="4"/>
  <c r="C380" i="4"/>
  <c r="J1" i="3"/>
  <c r="O1" i="3"/>
  <c r="T1" i="3"/>
  <c r="Y1" i="3"/>
  <c r="Y30" i="3" s="1"/>
  <c r="AD1" i="3"/>
  <c r="AI1" i="3"/>
  <c r="AN1" i="3"/>
  <c r="AS1" i="3"/>
  <c r="AX1" i="3"/>
  <c r="BC1" i="3"/>
  <c r="BH1" i="3"/>
  <c r="BM1" i="3"/>
  <c r="BM51" i="3" s="1"/>
  <c r="E2" i="3"/>
  <c r="J2" i="3" s="1"/>
  <c r="T2" i="3"/>
  <c r="Y2" i="3"/>
  <c r="AD2" i="3"/>
  <c r="AN2" i="3"/>
  <c r="AS2" i="3"/>
  <c r="AX2" i="3"/>
  <c r="BC2" i="3"/>
  <c r="BH2" i="3"/>
  <c r="BM2" i="3"/>
  <c r="J4" i="3"/>
  <c r="O4" i="3"/>
  <c r="T4" i="3"/>
  <c r="Y4" i="3"/>
  <c r="AD4" i="3"/>
  <c r="AI4" i="3"/>
  <c r="AN4" i="3"/>
  <c r="AS4" i="3"/>
  <c r="AX4" i="3"/>
  <c r="BC4" i="3"/>
  <c r="BH4" i="3"/>
  <c r="BM4" i="3"/>
  <c r="A7" i="3"/>
  <c r="F7" i="3"/>
  <c r="K7" i="3"/>
  <c r="P7" i="3"/>
  <c r="U7" i="3"/>
  <c r="Z7" i="3"/>
  <c r="AE7" i="3"/>
  <c r="AO7" i="3"/>
  <c r="AT7" i="3"/>
  <c r="AY7" i="3"/>
  <c r="BD7" i="3"/>
  <c r="BI7" i="3"/>
  <c r="BM11" i="3"/>
  <c r="F13" i="3"/>
  <c r="BL13" i="3"/>
  <c r="A14" i="3"/>
  <c r="A15" i="3" s="1"/>
  <c r="A16" i="3" s="1"/>
  <c r="F14" i="3"/>
  <c r="F15" i="3" s="1"/>
  <c r="F16" i="3" s="1"/>
  <c r="K14" i="3"/>
  <c r="P14" i="3"/>
  <c r="U14" i="3"/>
  <c r="U15" i="3" s="1"/>
  <c r="U16" i="3" s="1"/>
  <c r="Z14" i="3"/>
  <c r="AD14" i="3"/>
  <c r="AE14" i="3"/>
  <c r="AI14" i="3"/>
  <c r="AJ14" i="3"/>
  <c r="AO14" i="3"/>
  <c r="AS14" i="3"/>
  <c r="AT14" i="3"/>
  <c r="AY14" i="3"/>
  <c r="AY15" i="3" s="1"/>
  <c r="AY16" i="3" s="1"/>
  <c r="BC14" i="3"/>
  <c r="BD14" i="3"/>
  <c r="BD15" i="3" s="1"/>
  <c r="BH14" i="3"/>
  <c r="BH15" i="3" s="1"/>
  <c r="BI14" i="3"/>
  <c r="BI15" i="3" s="1"/>
  <c r="K15" i="3"/>
  <c r="K16" i="3" s="1"/>
  <c r="O15" i="3"/>
  <c r="P15" i="3"/>
  <c r="S15" i="3"/>
  <c r="Y15" i="3"/>
  <c r="Z15" i="3"/>
  <c r="AD15" i="3"/>
  <c r="AE15" i="3"/>
  <c r="AI15" i="3"/>
  <c r="AJ15" i="3"/>
  <c r="AJ16" i="3" s="1"/>
  <c r="AJ17" i="3" s="1"/>
  <c r="AN15" i="3"/>
  <c r="AO15" i="3"/>
  <c r="AS15" i="3"/>
  <c r="AT15" i="3"/>
  <c r="BF15" i="3"/>
  <c r="BG15" i="3"/>
  <c r="I16" i="3"/>
  <c r="O16" i="3"/>
  <c r="P16" i="3"/>
  <c r="P17" i="3" s="1"/>
  <c r="P18" i="3" s="1"/>
  <c r="P19" i="3" s="1"/>
  <c r="P20" i="3" s="1"/>
  <c r="P21" i="3" s="1"/>
  <c r="Y16" i="3"/>
  <c r="Z16" i="3"/>
  <c r="Z17" i="3" s="1"/>
  <c r="Z18" i="3" s="1"/>
  <c r="AD16" i="3"/>
  <c r="AE16" i="3"/>
  <c r="AI16" i="3"/>
  <c r="AN16" i="3"/>
  <c r="AN18" i="3" s="1"/>
  <c r="AO16" i="3"/>
  <c r="AS16" i="3"/>
  <c r="AT16" i="3"/>
  <c r="AV18" i="3"/>
  <c r="AX18" i="3"/>
  <c r="BA17" i="3"/>
  <c r="BA20" i="3" s="1"/>
  <c r="BC16" i="3"/>
  <c r="BD16" i="3"/>
  <c r="BI16" i="3"/>
  <c r="BI17" i="3" s="1"/>
  <c r="BI18" i="3" s="1"/>
  <c r="BI19" i="3" s="1"/>
  <c r="A17" i="3"/>
  <c r="F17" i="3"/>
  <c r="K17" i="3"/>
  <c r="K18" i="3" s="1"/>
  <c r="K19" i="3" s="1"/>
  <c r="K20" i="3" s="1"/>
  <c r="O17" i="3"/>
  <c r="U17" i="3"/>
  <c r="Y17" i="3"/>
  <c r="AE17" i="3"/>
  <c r="AN17" i="3"/>
  <c r="AO17" i="3"/>
  <c r="AS17" i="3"/>
  <c r="AT17" i="3"/>
  <c r="AY17" i="3"/>
  <c r="BD17" i="3"/>
  <c r="A18" i="3"/>
  <c r="F18" i="3"/>
  <c r="O18" i="3"/>
  <c r="U18" i="3"/>
  <c r="Y18" i="3"/>
  <c r="AD18" i="3"/>
  <c r="AE18" i="3"/>
  <c r="AE19" i="3" s="1"/>
  <c r="AE20" i="3" s="1"/>
  <c r="AE21" i="3" s="1"/>
  <c r="AE22" i="3" s="1"/>
  <c r="AE23" i="3" s="1"/>
  <c r="AE24" i="3" s="1"/>
  <c r="AI18" i="3"/>
  <c r="AJ18" i="3"/>
  <c r="AJ19" i="3" s="1"/>
  <c r="AJ20" i="3" s="1"/>
  <c r="AJ21" i="3" s="1"/>
  <c r="AJ22" i="3" s="1"/>
  <c r="AL18" i="3"/>
  <c r="AM18" i="3"/>
  <c r="AO18" i="3"/>
  <c r="AO19" i="3" s="1"/>
  <c r="AO20" i="3" s="1"/>
  <c r="AO21" i="3" s="1"/>
  <c r="AO22" i="3" s="1"/>
  <c r="AO23" i="3" s="1"/>
  <c r="AO24" i="3" s="1"/>
  <c r="AO25" i="3" s="1"/>
  <c r="AO26" i="3" s="1"/>
  <c r="AO27" i="3" s="1"/>
  <c r="AO28" i="3" s="1"/>
  <c r="AS18" i="3"/>
  <c r="AT18" i="3"/>
  <c r="AW18" i="3"/>
  <c r="AY18" i="3"/>
  <c r="AY19" i="3" s="1"/>
  <c r="AY20" i="3" s="1"/>
  <c r="AY21" i="3" s="1"/>
  <c r="AY22" i="3" s="1"/>
  <c r="AY23" i="3" s="1"/>
  <c r="AY24" i="3" s="1"/>
  <c r="AY25" i="3" s="1"/>
  <c r="AY26" i="3" s="1"/>
  <c r="AY27" i="3" s="1"/>
  <c r="AY28" i="3" s="1"/>
  <c r="AY29" i="3" s="1"/>
  <c r="BC18" i="3"/>
  <c r="BD18" i="3"/>
  <c r="BD19" i="3" s="1"/>
  <c r="A19" i="3"/>
  <c r="F19" i="3"/>
  <c r="I19" i="3"/>
  <c r="O19" i="3"/>
  <c r="U19" i="3"/>
  <c r="U20" i="3" s="1"/>
  <c r="U21" i="3" s="1"/>
  <c r="U22" i="3" s="1"/>
  <c r="U23" i="3" s="1"/>
  <c r="U24" i="3" s="1"/>
  <c r="U25" i="3" s="1"/>
  <c r="U26" i="3" s="1"/>
  <c r="U27" i="3" s="1"/>
  <c r="U28" i="3" s="1"/>
  <c r="U29" i="3" s="1"/>
  <c r="U30" i="3" s="1"/>
  <c r="U31" i="3" s="1"/>
  <c r="U32" i="3" s="1"/>
  <c r="U33" i="3" s="1"/>
  <c r="Y19" i="3"/>
  <c r="Z19" i="3"/>
  <c r="AD19" i="3"/>
  <c r="AG19" i="3"/>
  <c r="AQ19" i="3"/>
  <c r="AR19" i="3"/>
  <c r="BC19" i="3"/>
  <c r="A20" i="3"/>
  <c r="F20" i="3"/>
  <c r="M20" i="3"/>
  <c r="N20" i="3"/>
  <c r="Y20" i="3"/>
  <c r="Z20" i="3"/>
  <c r="Z21" i="3" s="1"/>
  <c r="Z22" i="3" s="1"/>
  <c r="Z23" i="3" s="1"/>
  <c r="Z24" i="3" s="1"/>
  <c r="Z25" i="3" s="1"/>
  <c r="Z26" i="3" s="1"/>
  <c r="Z27" i="3" s="1"/>
  <c r="Z28" i="3" s="1"/>
  <c r="Z29" i="3" s="1"/>
  <c r="Z30" i="3" s="1"/>
  <c r="AD20" i="3"/>
  <c r="BD20" i="3"/>
  <c r="BD21" i="3" s="1"/>
  <c r="BF20" i="3"/>
  <c r="BI20" i="3"/>
  <c r="BI21" i="3" s="1"/>
  <c r="BI22" i="3" s="1"/>
  <c r="BI23" i="3" s="1"/>
  <c r="BI24" i="3" s="1"/>
  <c r="BI25" i="3" s="1"/>
  <c r="BI26" i="3" s="1"/>
  <c r="BI27" i="3" s="1"/>
  <c r="BI28" i="3" s="1"/>
  <c r="BI29" i="3" s="1"/>
  <c r="BI30" i="3" s="1"/>
  <c r="BI31" i="3" s="1"/>
  <c r="BI32" i="3" s="1"/>
  <c r="BI33" i="3" s="1"/>
  <c r="BI34" i="3" s="1"/>
  <c r="BI35" i="3" s="1"/>
  <c r="BI36" i="3" s="1"/>
  <c r="BI37" i="3" s="1"/>
  <c r="BI38" i="3" s="1"/>
  <c r="BI39" i="3" s="1"/>
  <c r="BI40" i="3" s="1"/>
  <c r="BI41" i="3" s="1"/>
  <c r="BI42" i="3" s="1"/>
  <c r="BI43" i="3" s="1"/>
  <c r="BI44" i="3" s="1"/>
  <c r="BI45" i="3" s="1"/>
  <c r="BI46" i="3" s="1"/>
  <c r="BL20" i="3"/>
  <c r="BM20" i="3" s="1"/>
  <c r="A21" i="3"/>
  <c r="A22" i="3" s="1"/>
  <c r="A23" i="3" s="1"/>
  <c r="A24" i="3" s="1"/>
  <c r="A25" i="3" s="1"/>
  <c r="A26" i="3" s="1"/>
  <c r="A27" i="3" s="1"/>
  <c r="A28" i="3" s="1"/>
  <c r="A29" i="3" s="1"/>
  <c r="A30" i="3" s="1"/>
  <c r="A31" i="3" s="1"/>
  <c r="A32" i="3" s="1"/>
  <c r="A33" i="3" s="1"/>
  <c r="A34" i="3" s="1"/>
  <c r="A35" i="3" s="1"/>
  <c r="E21" i="3"/>
  <c r="F21" i="3"/>
  <c r="K21" i="3"/>
  <c r="W21" i="3"/>
  <c r="AD21" i="3"/>
  <c r="AN21" i="3"/>
  <c r="BL21" i="3"/>
  <c r="BM21" i="3" s="1"/>
  <c r="F22" i="3"/>
  <c r="K22" i="3"/>
  <c r="AD22" i="3"/>
  <c r="AL22" i="3"/>
  <c r="AL26" i="3" s="1"/>
  <c r="AM22" i="3"/>
  <c r="AN22" i="3"/>
  <c r="BD22" i="3"/>
  <c r="BD23" i="3" s="1"/>
  <c r="BD24" i="3" s="1"/>
  <c r="F23" i="3"/>
  <c r="K23" i="3"/>
  <c r="K24" i="3" s="1"/>
  <c r="K25" i="3" s="1"/>
  <c r="K26" i="3" s="1"/>
  <c r="K27" i="3" s="1"/>
  <c r="K28" i="3" s="1"/>
  <c r="O23" i="3"/>
  <c r="W23" i="3"/>
  <c r="W28" i="3" s="1"/>
  <c r="AD23" i="3"/>
  <c r="AI23" i="3"/>
  <c r="AJ23" i="3"/>
  <c r="AJ24" i="3" s="1"/>
  <c r="AJ25" i="3" s="1"/>
  <c r="AJ26" i="3" s="1"/>
  <c r="AJ27" i="3" s="1"/>
  <c r="AS23" i="3"/>
  <c r="BC23" i="3"/>
  <c r="BC24" i="3" s="1"/>
  <c r="BC26" i="3" s="1"/>
  <c r="F24" i="3"/>
  <c r="O24" i="3"/>
  <c r="AH24" i="3"/>
  <c r="AS24" i="3"/>
  <c r="BA24" i="3"/>
  <c r="BB24" i="3"/>
  <c r="F25" i="3"/>
  <c r="F26" i="3" s="1"/>
  <c r="N25" i="3"/>
  <c r="AD25" i="3"/>
  <c r="AE25" i="3"/>
  <c r="AE26" i="3" s="1"/>
  <c r="AE27" i="3" s="1"/>
  <c r="AE28" i="3" s="1"/>
  <c r="AE29" i="3" s="1"/>
  <c r="AS25" i="3"/>
  <c r="C26" i="3"/>
  <c r="C28" i="3" s="1"/>
  <c r="Y26" i="3"/>
  <c r="AD26" i="3"/>
  <c r="AM26" i="3"/>
  <c r="AN26" i="3"/>
  <c r="AS26" i="3"/>
  <c r="BK26" i="3"/>
  <c r="BL26" i="3" s="1"/>
  <c r="BM26" i="3" s="1"/>
  <c r="AD27" i="3"/>
  <c r="AR27" i="3"/>
  <c r="BL27" i="3"/>
  <c r="AD28" i="3"/>
  <c r="AJ28" i="3"/>
  <c r="AJ29" i="3" s="1"/>
  <c r="BC28" i="3"/>
  <c r="AN45" i="1" s="1"/>
  <c r="AN47" i="1" s="1"/>
  <c r="AD29" i="3"/>
  <c r="AO29" i="3"/>
  <c r="AO30" i="3" s="1"/>
  <c r="AO31" i="3" s="1"/>
  <c r="AO32" i="3" s="1"/>
  <c r="AO33" i="3" s="1"/>
  <c r="AO34" i="3" s="1"/>
  <c r="C30" i="3"/>
  <c r="Z31" i="3"/>
  <c r="Z32" i="3" s="1"/>
  <c r="Z33" i="3" s="1"/>
  <c r="Z34" i="3" s="1"/>
  <c r="Z35" i="3" s="1"/>
  <c r="Z36" i="3" s="1"/>
  <c r="Z37" i="3" s="1"/>
  <c r="Z38" i="3" s="1"/>
  <c r="Z39" i="3" s="1"/>
  <c r="Z40" i="3" s="1"/>
  <c r="Z41" i="3" s="1"/>
  <c r="Z42" i="3" s="1"/>
  <c r="Z43" i="3" s="1"/>
  <c r="Z44" i="3" s="1"/>
  <c r="Z45" i="3" s="1"/>
  <c r="Z46" i="3" s="1"/>
  <c r="Z47" i="3" s="1"/>
  <c r="Z48" i="3" s="1"/>
  <c r="Z49" i="3" s="1"/>
  <c r="Z50" i="3" s="1"/>
  <c r="Z51" i="3" s="1"/>
  <c r="Z52" i="3" s="1"/>
  <c r="Z53" i="3" s="1"/>
  <c r="Z54" i="3" s="1"/>
  <c r="Z55" i="3" s="1"/>
  <c r="Z56" i="3" s="1"/>
  <c r="Z57" i="3" s="1"/>
  <c r="Z58" i="3" s="1"/>
  <c r="Z59" i="3" s="1"/>
  <c r="Z60" i="3" s="1"/>
  <c r="Z61" i="3" s="1"/>
  <c r="Z62" i="3" s="1"/>
  <c r="Z63" i="3" s="1"/>
  <c r="Z64" i="3" s="1"/>
  <c r="Z65" i="3" s="1"/>
  <c r="Z66" i="3" s="1"/>
  <c r="AS31" i="3"/>
  <c r="C32" i="3"/>
  <c r="Y32" i="3"/>
  <c r="AS32" i="3"/>
  <c r="W38" i="3"/>
  <c r="AB33" i="3"/>
  <c r="AS33" i="3"/>
  <c r="U34" i="3"/>
  <c r="U35" i="3" s="1"/>
  <c r="AQ34" i="3"/>
  <c r="AO35" i="3"/>
  <c r="AO36" i="3" s="1"/>
  <c r="AO37" i="3" s="1"/>
  <c r="AO38" i="3" s="1"/>
  <c r="AO39" i="3" s="1"/>
  <c r="U36" i="3"/>
  <c r="U37" i="3" s="1"/>
  <c r="U38" i="3" s="1"/>
  <c r="U39" i="3" s="1"/>
  <c r="U40" i="3" s="1"/>
  <c r="U41" i="3" s="1"/>
  <c r="U42" i="3" s="1"/>
  <c r="U43" i="3" s="1"/>
  <c r="U44" i="3" s="1"/>
  <c r="U45" i="3" s="1"/>
  <c r="U46" i="3" s="1"/>
  <c r="U47" i="3" s="1"/>
  <c r="U48" i="3" s="1"/>
  <c r="U49" i="3" s="1"/>
  <c r="U50" i="3" s="1"/>
  <c r="U51" i="3" s="1"/>
  <c r="U52" i="3" s="1"/>
  <c r="U53" i="3" s="1"/>
  <c r="U54" i="3" s="1"/>
  <c r="U55" i="3" s="1"/>
  <c r="U56" i="3" s="1"/>
  <c r="U57" i="3" s="1"/>
  <c r="U58" i="3" s="1"/>
  <c r="U59" i="3" s="1"/>
  <c r="U60" i="3" s="1"/>
  <c r="U61" i="3" s="1"/>
  <c r="U62" i="3" s="1"/>
  <c r="U63" i="3" s="1"/>
  <c r="BK36" i="3"/>
  <c r="BL36" i="3"/>
  <c r="BM36" i="3" s="1"/>
  <c r="BK38" i="3"/>
  <c r="BL38" i="3" s="1"/>
  <c r="BM38" i="3" s="1"/>
  <c r="AD40" i="3"/>
  <c r="BK40" i="3"/>
  <c r="BL40" i="3" s="1"/>
  <c r="BM40" i="3"/>
  <c r="AD43" i="3"/>
  <c r="BM43" i="3"/>
  <c r="BK45" i="3"/>
  <c r="BL45" i="3"/>
  <c r="BM45" i="3" s="1"/>
  <c r="BK41" i="3"/>
  <c r="BL41" i="3" s="1"/>
  <c r="BM41" i="3" s="1"/>
  <c r="AD46" i="3"/>
  <c r="BK43" i="3"/>
  <c r="BL43" i="3" s="1"/>
  <c r="AD47" i="3"/>
  <c r="BI47" i="3"/>
  <c r="BI48" i="3" s="1"/>
  <c r="BI49" i="3" s="1"/>
  <c r="BI50" i="3" s="1"/>
  <c r="BI51" i="3" s="1"/>
  <c r="BI52" i="3" s="1"/>
  <c r="BI53" i="3" s="1"/>
  <c r="BI54" i="3" s="1"/>
  <c r="BI55" i="3" s="1"/>
  <c r="BI56" i="3" s="1"/>
  <c r="BI57" i="3" s="1"/>
  <c r="BI58" i="3" s="1"/>
  <c r="BI59" i="3" s="1"/>
  <c r="BI60" i="3" s="1"/>
  <c r="BI61" i="3" s="1"/>
  <c r="BI62" i="3" s="1"/>
  <c r="BI63" i="3" s="1"/>
  <c r="BI64" i="3" s="1"/>
  <c r="BI65" i="3" s="1"/>
  <c r="BI66" i="3" s="1"/>
  <c r="BI67" i="3" s="1"/>
  <c r="BI68" i="3" s="1"/>
  <c r="BI69" i="3" s="1"/>
  <c r="BI70" i="3" s="1"/>
  <c r="BI71" i="3" s="1"/>
  <c r="BI72" i="3" s="1"/>
  <c r="BI73" i="3" s="1"/>
  <c r="BI74" i="3" s="1"/>
  <c r="BI75" i="3" s="1"/>
  <c r="BI76" i="3" s="1"/>
  <c r="BI77" i="3" s="1"/>
  <c r="BI78" i="3" s="1"/>
  <c r="BI79" i="3" s="1"/>
  <c r="AD48" i="3"/>
  <c r="BK44" i="3"/>
  <c r="BL44" i="3" s="1"/>
  <c r="BM44" i="3" s="1"/>
  <c r="AD49" i="3"/>
  <c r="BK42" i="3"/>
  <c r="BL42" i="3" s="1"/>
  <c r="BM42" i="3" s="1"/>
  <c r="W50" i="3"/>
  <c r="AD50" i="3"/>
  <c r="BK37" i="3"/>
  <c r="AD51" i="3"/>
  <c r="BK39" i="3"/>
  <c r="BL39" i="3" s="1"/>
  <c r="BM39" i="3" s="1"/>
  <c r="AD52" i="3"/>
  <c r="AB53" i="3"/>
  <c r="BM53" i="3"/>
  <c r="W56" i="3"/>
  <c r="W57" i="3" s="1"/>
  <c r="X57" i="3"/>
  <c r="X59" i="3" s="1"/>
  <c r="BL58" i="3"/>
  <c r="BM58" i="3"/>
  <c r="BL59" i="3"/>
  <c r="BM59" i="3"/>
  <c r="BL60" i="3"/>
  <c r="BM60" i="3"/>
  <c r="Y62" i="3"/>
  <c r="BM62" i="3"/>
  <c r="BL62" i="3"/>
  <c r="U64" i="3"/>
  <c r="U65" i="3" s="1"/>
  <c r="U66" i="3" s="1"/>
  <c r="U67" i="3" s="1"/>
  <c r="U68" i="3" s="1"/>
  <c r="X66" i="3"/>
  <c r="BL69" i="3"/>
  <c r="BM69" i="3" s="1"/>
  <c r="BL70" i="3"/>
  <c r="BM70" i="3"/>
  <c r="BK76" i="3"/>
  <c r="BL76" i="3"/>
  <c r="BM76" i="3"/>
  <c r="BK77" i="3"/>
  <c r="BL77" i="3"/>
  <c r="BM77" i="3"/>
  <c r="BK78" i="3"/>
  <c r="BL78" i="3"/>
  <c r="BM78" i="3"/>
  <c r="BI80" i="3"/>
  <c r="BK80" i="3"/>
  <c r="BL80" i="3"/>
  <c r="BM80" i="3"/>
  <c r="BI81" i="3"/>
  <c r="BK81" i="3"/>
  <c r="BL81" i="3"/>
  <c r="BM81" i="3"/>
  <c r="BI82" i="3"/>
  <c r="BK82" i="3"/>
  <c r="BL82" i="3"/>
  <c r="BM82" i="3"/>
  <c r="BI83" i="3"/>
  <c r="BK83" i="3"/>
  <c r="BL83" i="3"/>
  <c r="BM83" i="3"/>
  <c r="BI84" i="3"/>
  <c r="BK84" i="3"/>
  <c r="BL84" i="3"/>
  <c r="BM84" i="3"/>
  <c r="BI85" i="3"/>
  <c r="BK85" i="3"/>
  <c r="BL85" i="3"/>
  <c r="BM85" i="3"/>
  <c r="BI86" i="3"/>
  <c r="BK86" i="3"/>
  <c r="BL86" i="3"/>
  <c r="BM86" i="3"/>
  <c r="BI87" i="3"/>
  <c r="BK87" i="3"/>
  <c r="BL87" i="3"/>
  <c r="BM87" i="3"/>
  <c r="BI88" i="3"/>
  <c r="BK88" i="3"/>
  <c r="BL88" i="3"/>
  <c r="BM88" i="3"/>
  <c r="BI89" i="3"/>
  <c r="BI90" i="3" s="1"/>
  <c r="BI91" i="3" s="1"/>
  <c r="BI92" i="3" s="1"/>
  <c r="BI93" i="3" s="1"/>
  <c r="BI94" i="3" s="1"/>
  <c r="BI95" i="3" s="1"/>
  <c r="BI96" i="3" s="1"/>
  <c r="BK90" i="3"/>
  <c r="BL90" i="3"/>
  <c r="BM90" i="3"/>
  <c r="BK91" i="3"/>
  <c r="BL91" i="3"/>
  <c r="BM91" i="3"/>
  <c r="BK92" i="3"/>
  <c r="BL92" i="3"/>
  <c r="BM92" i="3"/>
  <c r="AX101" i="3"/>
  <c r="BH104" i="3"/>
  <c r="AN105" i="3"/>
  <c r="AX105" i="3"/>
  <c r="L1" i="2"/>
  <c r="Q1" i="2"/>
  <c r="U1" i="2"/>
  <c r="Y1" i="2"/>
  <c r="AD1" i="2"/>
  <c r="AI1" i="2"/>
  <c r="AN1" i="2"/>
  <c r="AW1" i="2"/>
  <c r="BB1" i="2"/>
  <c r="BG1" i="2"/>
  <c r="BK1" i="2"/>
  <c r="BO1" i="2"/>
  <c r="BS1" i="2"/>
  <c r="BX1" i="2"/>
  <c r="CC1" i="2"/>
  <c r="CH1" i="2"/>
  <c r="CM1" i="2"/>
  <c r="CR1" i="2"/>
  <c r="CW1" i="2"/>
  <c r="DB1" i="2"/>
  <c r="DG1" i="2"/>
  <c r="DL1" i="2"/>
  <c r="DP1" i="2"/>
  <c r="E2" i="2"/>
  <c r="L2" i="2"/>
  <c r="Q2" i="2"/>
  <c r="U2" i="2"/>
  <c r="Y2" i="2"/>
  <c r="AD2" i="2"/>
  <c r="AI2" i="2"/>
  <c r="AN2" i="2"/>
  <c r="AW2" i="2"/>
  <c r="BB2" i="2"/>
  <c r="BG2" i="2"/>
  <c r="BK2" i="2"/>
  <c r="BO2" i="2"/>
  <c r="BS2" i="2"/>
  <c r="BX2" i="2"/>
  <c r="CC2" i="2"/>
  <c r="CH2" i="2"/>
  <c r="CM2" i="2"/>
  <c r="CR2" i="2"/>
  <c r="CW2" i="2"/>
  <c r="DB2" i="2"/>
  <c r="DG2" i="2"/>
  <c r="DL2" i="2"/>
  <c r="DP2" i="2"/>
  <c r="E4" i="2"/>
  <c r="L4" i="2"/>
  <c r="Q4" i="2"/>
  <c r="U4" i="2"/>
  <c r="Y4" i="2"/>
  <c r="AD4" i="2"/>
  <c r="AN4" i="2"/>
  <c r="AW4" i="2"/>
  <c r="BB4" i="2"/>
  <c r="BG4" i="2"/>
  <c r="BK4" i="2"/>
  <c r="BO4" i="2"/>
  <c r="BS4" i="2"/>
  <c r="BX4" i="2"/>
  <c r="CC4" i="2"/>
  <c r="CH4" i="2"/>
  <c r="CM4" i="2"/>
  <c r="CR4" i="2"/>
  <c r="CW4" i="2"/>
  <c r="DB4" i="2"/>
  <c r="DG4" i="2"/>
  <c r="DL4" i="2"/>
  <c r="I7" i="2"/>
  <c r="M7" i="2"/>
  <c r="R7" i="2"/>
  <c r="V7" i="2"/>
  <c r="Z7" i="2"/>
  <c r="AE7" i="2"/>
  <c r="AJ7" i="2"/>
  <c r="AO7" i="2"/>
  <c r="AX7" i="2"/>
  <c r="BH7" i="2"/>
  <c r="BL7" i="2"/>
  <c r="BP7" i="2"/>
  <c r="BT7" i="2"/>
  <c r="BY7" i="2"/>
  <c r="CD7" i="2"/>
  <c r="CI7" i="2"/>
  <c r="CN7" i="2"/>
  <c r="CS7" i="2"/>
  <c r="I8" i="2"/>
  <c r="M8" i="2" s="1"/>
  <c r="R8" i="2" s="1"/>
  <c r="V8" i="2" s="1"/>
  <c r="Z8" i="2" s="1"/>
  <c r="A13" i="2"/>
  <c r="A14" i="2" s="1"/>
  <c r="U15" i="2"/>
  <c r="U16" i="2" s="1"/>
  <c r="AD13" i="2"/>
  <c r="AN13" i="2"/>
  <c r="BG13" i="2"/>
  <c r="BG15" i="2" s="1"/>
  <c r="BX13" i="2"/>
  <c r="CA15" i="2"/>
  <c r="CC13" i="2"/>
  <c r="CC15" i="2" s="1"/>
  <c r="DL13" i="2"/>
  <c r="F14" i="2"/>
  <c r="M14" i="2"/>
  <c r="M15" i="2" s="1"/>
  <c r="R14" i="2"/>
  <c r="V14" i="2"/>
  <c r="Z14" i="2"/>
  <c r="AD14" i="2"/>
  <c r="AE14" i="2"/>
  <c r="AN14" i="2"/>
  <c r="AO14" i="2"/>
  <c r="AO15" i="2" s="1"/>
  <c r="AV14" i="2"/>
  <c r="AW14" i="2" s="1"/>
  <c r="AX14" i="2"/>
  <c r="BB14" i="2"/>
  <c r="BH14" i="2"/>
  <c r="BL14" i="2"/>
  <c r="BP14" i="2"/>
  <c r="BT14" i="2"/>
  <c r="BX14" i="2"/>
  <c r="BX15" i="2" s="1"/>
  <c r="BX17" i="2" s="1"/>
  <c r="BX19" i="2" s="1"/>
  <c r="BY14" i="2"/>
  <c r="CH14" i="2"/>
  <c r="CI14" i="2"/>
  <c r="CS14" i="2"/>
  <c r="CS15" i="2" s="1"/>
  <c r="CS16" i="2" s="1"/>
  <c r="CS17" i="2" s="1"/>
  <c r="CS18" i="2" s="1"/>
  <c r="DB14" i="2"/>
  <c r="DJ15" i="2"/>
  <c r="DL14" i="2"/>
  <c r="A15" i="2"/>
  <c r="A16" i="2" s="1"/>
  <c r="A17" i="2" s="1"/>
  <c r="A18" i="2" s="1"/>
  <c r="A19" i="2" s="1"/>
  <c r="A20" i="2" s="1"/>
  <c r="A21" i="2" s="1"/>
  <c r="F15" i="2"/>
  <c r="R15" i="2"/>
  <c r="R16" i="2" s="1"/>
  <c r="R17" i="2" s="1"/>
  <c r="R18" i="2" s="1"/>
  <c r="R19" i="2" s="1"/>
  <c r="R20" i="2" s="1"/>
  <c r="R21" i="2" s="1"/>
  <c r="R22" i="2" s="1"/>
  <c r="R23" i="2" s="1"/>
  <c r="V15" i="2"/>
  <c r="Z15" i="2"/>
  <c r="Z16" i="2" s="1"/>
  <c r="AD15" i="2"/>
  <c r="AE15" i="2"/>
  <c r="AE16" i="2" s="1"/>
  <c r="AI15" i="2"/>
  <c r="AL15" i="2"/>
  <c r="AM15" i="2"/>
  <c r="AN15" i="2"/>
  <c r="AN17" i="2" s="1"/>
  <c r="AV15" i="2"/>
  <c r="AX15" i="2"/>
  <c r="BB15" i="2"/>
  <c r="BH15" i="2"/>
  <c r="BK15" i="2"/>
  <c r="BL15" i="2"/>
  <c r="BP15" i="2"/>
  <c r="BT15" i="2"/>
  <c r="BT16" i="2" s="1"/>
  <c r="BT17" i="2" s="1"/>
  <c r="BT18" i="2" s="1"/>
  <c r="BV15" i="2"/>
  <c r="BW15" i="2"/>
  <c r="BY15" i="2"/>
  <c r="BY16" i="2" s="1"/>
  <c r="CB15" i="2"/>
  <c r="CI15" i="2"/>
  <c r="CZ15" i="2"/>
  <c r="DA15" i="2"/>
  <c r="DB15" i="2"/>
  <c r="DG15" i="2"/>
  <c r="DK15" i="2"/>
  <c r="F16" i="2"/>
  <c r="F17" i="2" s="1"/>
  <c r="F18" i="2" s="1"/>
  <c r="F19" i="2" s="1"/>
  <c r="F20" i="2" s="1"/>
  <c r="J16" i="2"/>
  <c r="M16" i="2"/>
  <c r="M17" i="2" s="1"/>
  <c r="M18" i="2" s="1"/>
  <c r="M19" i="2" s="1"/>
  <c r="M20" i="2" s="1"/>
  <c r="V16" i="2"/>
  <c r="V17" i="2" s="1"/>
  <c r="V18" i="2" s="1"/>
  <c r="V19" i="2" s="1"/>
  <c r="AD16" i="2"/>
  <c r="AI16" i="2"/>
  <c r="AO16" i="2"/>
  <c r="AO17" i="2" s="1"/>
  <c r="AO18" i="2" s="1"/>
  <c r="AO19" i="2" s="1"/>
  <c r="AO20" i="2" s="1"/>
  <c r="AV16" i="2"/>
  <c r="AW16" i="2" s="1"/>
  <c r="AX16" i="2"/>
  <c r="BB16" i="2"/>
  <c r="BL16" i="2"/>
  <c r="BP16" i="2"/>
  <c r="CH16" i="2"/>
  <c r="CI16" i="2"/>
  <c r="CI17" i="2" s="1"/>
  <c r="CI18" i="2" s="1"/>
  <c r="CI19" i="2" s="1"/>
  <c r="CM16" i="2"/>
  <c r="CR16" i="2"/>
  <c r="CW16" i="2"/>
  <c r="CW18" i="2" s="1"/>
  <c r="DG16" i="2"/>
  <c r="DP16" i="2"/>
  <c r="DP18" i="2" s="1"/>
  <c r="J17" i="2"/>
  <c r="X17" i="2"/>
  <c r="Z17" i="2"/>
  <c r="Z18" i="2" s="1"/>
  <c r="Z19" i="2" s="1"/>
  <c r="Z20" i="2" s="1"/>
  <c r="Z21" i="2" s="1"/>
  <c r="Z22" i="2" s="1"/>
  <c r="Z23" i="2" s="1"/>
  <c r="Z24" i="2" s="1"/>
  <c r="Z25" i="2" s="1"/>
  <c r="Z26" i="2" s="1"/>
  <c r="Z27" i="2" s="1"/>
  <c r="Z28" i="2" s="1"/>
  <c r="Z29" i="2" s="1"/>
  <c r="Z30" i="2" s="1"/>
  <c r="AB17" i="2"/>
  <c r="AC17" i="2"/>
  <c r="AE17" i="2"/>
  <c r="AI17" i="2"/>
  <c r="AX17" i="2"/>
  <c r="BB17" i="2"/>
  <c r="BL17" i="2"/>
  <c r="BN17" i="2"/>
  <c r="BP17" i="2"/>
  <c r="BP18" i="2" s="1"/>
  <c r="BP19" i="2" s="1"/>
  <c r="BP20" i="2" s="1"/>
  <c r="BP21" i="2" s="1"/>
  <c r="BP22" i="2" s="1"/>
  <c r="BY17" i="2"/>
  <c r="BY18" i="2" s="1"/>
  <c r="CH17" i="2"/>
  <c r="J18" i="2"/>
  <c r="AE18" i="2"/>
  <c r="AE19" i="2" s="1"/>
  <c r="AE20" i="2" s="1"/>
  <c r="AE21" i="2" s="1"/>
  <c r="AE22" i="2" s="1"/>
  <c r="AE23" i="2" s="1"/>
  <c r="AE24" i="2" s="1"/>
  <c r="AE25" i="2" s="1"/>
  <c r="AE26" i="2" s="1"/>
  <c r="AE27" i="2" s="1"/>
  <c r="AE28" i="2" s="1"/>
  <c r="AE29" i="2" s="1"/>
  <c r="AG18" i="2"/>
  <c r="AH18" i="2"/>
  <c r="AI18" i="2"/>
  <c r="AN18" i="2"/>
  <c r="L45" i="1" s="1"/>
  <c r="L47" i="1" s="1"/>
  <c r="AX18" i="2"/>
  <c r="BB18" i="2"/>
  <c r="BL18" i="2"/>
  <c r="BS19" i="2"/>
  <c r="CH18" i="2"/>
  <c r="CR18" i="2"/>
  <c r="CR20" i="2" s="1"/>
  <c r="DG18" i="2"/>
  <c r="J19" i="2"/>
  <c r="AB21" i="2"/>
  <c r="AB23" i="2" s="1"/>
  <c r="AX19" i="2"/>
  <c r="BB19" i="2"/>
  <c r="BL19" i="2"/>
  <c r="BL20" i="2" s="1"/>
  <c r="BL21" i="2" s="1"/>
  <c r="BL22" i="2" s="1"/>
  <c r="BL23" i="2" s="1"/>
  <c r="BN19" i="2"/>
  <c r="BO19" i="2" s="1"/>
  <c r="BT19" i="2"/>
  <c r="BT20" i="2" s="1"/>
  <c r="CH19" i="2"/>
  <c r="CS19" i="2"/>
  <c r="DB19" i="2"/>
  <c r="DG19" i="2"/>
  <c r="J20" i="2"/>
  <c r="V20" i="2"/>
  <c r="AX20" i="2"/>
  <c r="BB20" i="2"/>
  <c r="BX20" i="2"/>
  <c r="CH20" i="2"/>
  <c r="CI20" i="2"/>
  <c r="CI21" i="2" s="1"/>
  <c r="CI22" i="2" s="1"/>
  <c r="CI23" i="2" s="1"/>
  <c r="CI24" i="2" s="1"/>
  <c r="CI25" i="2" s="1"/>
  <c r="CS20" i="2"/>
  <c r="CS21" i="2" s="1"/>
  <c r="CS22" i="2" s="1"/>
  <c r="CU20" i="2"/>
  <c r="CZ21" i="2"/>
  <c r="DC20" i="2"/>
  <c r="DG20" i="2"/>
  <c r="Z59" i="1" s="1"/>
  <c r="F21" i="2"/>
  <c r="F22" i="2" s="1"/>
  <c r="F23" i="2" s="1"/>
  <c r="F24" i="2" s="1"/>
  <c r="F25" i="2" s="1"/>
  <c r="F26" i="2" s="1"/>
  <c r="F27" i="2" s="1"/>
  <c r="F28" i="2" s="1"/>
  <c r="F29" i="2" s="1"/>
  <c r="J21" i="2"/>
  <c r="M21" i="2"/>
  <c r="M22" i="2" s="1"/>
  <c r="M23" i="2" s="1"/>
  <c r="M24" i="2" s="1"/>
  <c r="M25" i="2" s="1"/>
  <c r="M26" i="2" s="1"/>
  <c r="M27" i="2" s="1"/>
  <c r="V21" i="2"/>
  <c r="V22" i="2" s="1"/>
  <c r="V23" i="2" s="1"/>
  <c r="AI21" i="2"/>
  <c r="AO21" i="2"/>
  <c r="AO22" i="2" s="1"/>
  <c r="AO23" i="2" s="1"/>
  <c r="AO24" i="2" s="1"/>
  <c r="AO25" i="2" s="1"/>
  <c r="AO26" i="2" s="1"/>
  <c r="AO27" i="2" s="1"/>
  <c r="AO28" i="2" s="1"/>
  <c r="AO29" i="2" s="1"/>
  <c r="AX21" i="2"/>
  <c r="BB21" i="2"/>
  <c r="N38" i="1" s="1"/>
  <c r="CH21" i="2"/>
  <c r="CM21" i="2"/>
  <c r="CM29" i="2" s="1"/>
  <c r="CM30" i="2" s="1"/>
  <c r="DC21" i="2"/>
  <c r="DG21" i="2"/>
  <c r="A22" i="2"/>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J22" i="2"/>
  <c r="X22" i="2"/>
  <c r="AG22" i="2"/>
  <c r="AH22" i="2"/>
  <c r="AI22" i="2"/>
  <c r="AX22" i="2"/>
  <c r="AZ22" i="2"/>
  <c r="CF22" i="2"/>
  <c r="CF25" i="2" s="1"/>
  <c r="CG22" i="2"/>
  <c r="CP22" i="2"/>
  <c r="DC22" i="2"/>
  <c r="J23" i="2"/>
  <c r="AX23" i="2"/>
  <c r="BN23" i="2"/>
  <c r="BP23" i="2"/>
  <c r="BP24" i="2" s="1"/>
  <c r="BP25" i="2" s="1"/>
  <c r="BP26" i="2" s="1"/>
  <c r="DC23" i="2"/>
  <c r="J24" i="2"/>
  <c r="R24" i="2"/>
  <c r="AX24" i="2"/>
  <c r="AX25" i="2" s="1"/>
  <c r="AX26" i="2" s="1"/>
  <c r="AX27" i="2" s="1"/>
  <c r="AX28" i="2" s="1"/>
  <c r="AX29" i="2" s="1"/>
  <c r="AX30" i="2" s="1"/>
  <c r="BL24" i="2"/>
  <c r="BL25" i="2" s="1"/>
  <c r="BL26" i="2" s="1"/>
  <c r="BL27" i="2" s="1"/>
  <c r="DC24" i="2"/>
  <c r="DC25" i="2" s="1"/>
  <c r="DC26" i="2" s="1"/>
  <c r="J25" i="2"/>
  <c r="R25" i="2"/>
  <c r="R26" i="2" s="1"/>
  <c r="R27" i="2" s="1"/>
  <c r="AZ25" i="2"/>
  <c r="BN25" i="2"/>
  <c r="BO25" i="2"/>
  <c r="BO28" i="2" s="1"/>
  <c r="CG25" i="2"/>
  <c r="CM26" i="2"/>
  <c r="J26" i="2"/>
  <c r="AD26" i="2"/>
  <c r="AD28" i="2" s="1"/>
  <c r="AG26" i="2"/>
  <c r="AH26" i="2"/>
  <c r="AI26" i="2"/>
  <c r="CI26" i="2"/>
  <c r="CI27" i="2" s="1"/>
  <c r="CI28" i="2" s="1"/>
  <c r="CI29" i="2" s="1"/>
  <c r="DG26" i="2"/>
  <c r="H27" i="2"/>
  <c r="AD27" i="2"/>
  <c r="BP27" i="2"/>
  <c r="BP28" i="2" s="1"/>
  <c r="BP29" i="2" s="1"/>
  <c r="BP30" i="2" s="1"/>
  <c r="BP31" i="2" s="1"/>
  <c r="DC27" i="2"/>
  <c r="DG27" i="2"/>
  <c r="M28" i="2"/>
  <c r="R28" i="2"/>
  <c r="R29" i="2" s="1"/>
  <c r="U28" i="2"/>
  <c r="AB28" i="2"/>
  <c r="AC28" i="2"/>
  <c r="AI28" i="2"/>
  <c r="BL28" i="2"/>
  <c r="BL29" i="2" s="1"/>
  <c r="BL30" i="2" s="1"/>
  <c r="BL31" i="2" s="1"/>
  <c r="DC28" i="2"/>
  <c r="DC29" i="2" s="1"/>
  <c r="DC30" i="2" s="1"/>
  <c r="DC31" i="2" s="1"/>
  <c r="DC32" i="2" s="1"/>
  <c r="DC33" i="2" s="1"/>
  <c r="DC34" i="2" s="1"/>
  <c r="DC35" i="2" s="1"/>
  <c r="DG28" i="2"/>
  <c r="M29" i="2"/>
  <c r="M30" i="2" s="1"/>
  <c r="M31" i="2" s="1"/>
  <c r="M32" i="2" s="1"/>
  <c r="AI29" i="2"/>
  <c r="BA29" i="2"/>
  <c r="F30" i="2"/>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R30" i="2"/>
  <c r="CI30" i="2"/>
  <c r="CI31" i="2" s="1"/>
  <c r="CI32" i="2" s="1"/>
  <c r="CI33" i="2" s="1"/>
  <c r="CI34" i="2" s="1"/>
  <c r="CI35" i="2" s="1"/>
  <c r="DE30" i="2"/>
  <c r="P31" i="2"/>
  <c r="R31" i="2"/>
  <c r="R32" i="2" s="1"/>
  <c r="U31" i="2"/>
  <c r="Z31" i="2"/>
  <c r="CM31" i="2"/>
  <c r="D32" i="2"/>
  <c r="Z32" i="2"/>
  <c r="Z33" i="2" s="1"/>
  <c r="Z34" i="2" s="1"/>
  <c r="Z35" i="2" s="1"/>
  <c r="M33" i="2"/>
  <c r="M34" i="2" s="1"/>
  <c r="M35" i="2" s="1"/>
  <c r="M36" i="2" s="1"/>
  <c r="M37" i="2" s="1"/>
  <c r="M38" i="2" s="1"/>
  <c r="M39" i="2" s="1"/>
  <c r="M40" i="2" s="1"/>
  <c r="M41" i="2" s="1"/>
  <c r="M42" i="2" s="1"/>
  <c r="M43" i="2" s="1"/>
  <c r="M44" i="2" s="1"/>
  <c r="M45" i="2" s="1"/>
  <c r="M46" i="2" s="1"/>
  <c r="M47" i="2" s="1"/>
  <c r="M48" i="2" s="1"/>
  <c r="M49" i="2" s="1"/>
  <c r="M50" i="2" s="1"/>
  <c r="CK34" i="2"/>
  <c r="Z36" i="2"/>
  <c r="Z37" i="2" s="1"/>
  <c r="Z38" i="2" s="1"/>
  <c r="Z39" i="2" s="1"/>
  <c r="Z40" i="2" s="1"/>
  <c r="Z41" i="2" s="1"/>
  <c r="Z42" i="2" s="1"/>
  <c r="E39" i="2"/>
  <c r="C41" i="2"/>
  <c r="G36" i="1"/>
  <c r="Q46" i="2"/>
  <c r="J44" i="2"/>
  <c r="A46" i="2"/>
  <c r="A47" i="2" s="1"/>
  <c r="A48" i="2" s="1"/>
  <c r="A49" i="2" s="1"/>
  <c r="J52" i="2"/>
  <c r="BK59" i="2"/>
  <c r="BX59" i="2"/>
  <c r="I1" i="1"/>
  <c r="R1" i="1"/>
  <c r="AA1" i="1"/>
  <c r="AJ1" i="1"/>
  <c r="AR1" i="1"/>
  <c r="I2" i="1"/>
  <c r="R2" i="1"/>
  <c r="AA2" i="1"/>
  <c r="AJ2" i="1"/>
  <c r="AR2" i="1"/>
  <c r="F7" i="1"/>
  <c r="L7" i="1"/>
  <c r="T7" i="1"/>
  <c r="AD7" i="1"/>
  <c r="AL7" i="1"/>
  <c r="AU7" i="1"/>
  <c r="A17" i="1"/>
  <c r="AS17" i="1"/>
  <c r="A18" i="1"/>
  <c r="AS18" i="1"/>
  <c r="E18" i="1"/>
  <c r="F18" i="1"/>
  <c r="AV18" i="1"/>
  <c r="A19" i="1"/>
  <c r="A20" i="1" s="1"/>
  <c r="A21" i="1" s="1"/>
  <c r="A22" i="1" s="1"/>
  <c r="A23" i="1" s="1"/>
  <c r="AS19" i="1"/>
  <c r="BA19" i="1"/>
  <c r="AS20" i="1"/>
  <c r="E20" i="1"/>
  <c r="G20" i="1"/>
  <c r="BA20" i="1"/>
  <c r="D21" i="1"/>
  <c r="H21" i="1"/>
  <c r="I21" i="1"/>
  <c r="J21" i="1"/>
  <c r="K21" i="1"/>
  <c r="M21" i="1"/>
  <c r="N21" i="1"/>
  <c r="O21" i="1"/>
  <c r="P21" i="1"/>
  <c r="Q21" i="1"/>
  <c r="R21" i="1"/>
  <c r="S21" i="1"/>
  <c r="T21" i="1"/>
  <c r="U21" i="1"/>
  <c r="V21" i="1"/>
  <c r="W21" i="1"/>
  <c r="X21" i="1"/>
  <c r="Y21" i="1"/>
  <c r="Z21" i="1"/>
  <c r="AA21" i="1"/>
  <c r="AB21" i="1"/>
  <c r="AE21" i="1"/>
  <c r="AG21" i="1"/>
  <c r="AH21" i="1"/>
  <c r="AI21" i="1"/>
  <c r="AJ21" i="1"/>
  <c r="AK21" i="1"/>
  <c r="AL21" i="1"/>
  <c r="AM21" i="1"/>
  <c r="AN21" i="1"/>
  <c r="AN49" i="1" s="1"/>
  <c r="M46" i="5" s="1"/>
  <c r="AO21" i="1"/>
  <c r="AP21" i="1"/>
  <c r="A24" i="1"/>
  <c r="A25" i="1" s="1"/>
  <c r="A26" i="1" s="1"/>
  <c r="AS26" i="1"/>
  <c r="BA26" i="1"/>
  <c r="A27" i="1"/>
  <c r="A28" i="1" s="1"/>
  <c r="N27" i="1"/>
  <c r="U27" i="1"/>
  <c r="AS27" i="1"/>
  <c r="BA27" i="1"/>
  <c r="AI28" i="1"/>
  <c r="AI30" i="1" s="1"/>
  <c r="AS28" i="1"/>
  <c r="BA28" i="1"/>
  <c r="A29" i="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G29" i="1"/>
  <c r="AQ29" i="1"/>
  <c r="AT29" i="1" s="1"/>
  <c r="AU29" i="1" s="1"/>
  <c r="AW29" i="1" s="1"/>
  <c r="AR29" i="1"/>
  <c r="AS29" i="1"/>
  <c r="BA29" i="1"/>
  <c r="D30" i="1"/>
  <c r="E30" i="1"/>
  <c r="F30" i="1"/>
  <c r="G30" i="1"/>
  <c r="H30" i="1"/>
  <c r="I30" i="1"/>
  <c r="J30" i="1"/>
  <c r="K30" i="1"/>
  <c r="L30" i="1"/>
  <c r="M30" i="1"/>
  <c r="N30" i="1"/>
  <c r="O30" i="1"/>
  <c r="P30" i="1"/>
  <c r="Q30" i="1"/>
  <c r="R30" i="1"/>
  <c r="S30" i="1"/>
  <c r="T30" i="1"/>
  <c r="U30" i="1"/>
  <c r="V30" i="1"/>
  <c r="W30" i="1"/>
  <c r="X30" i="1"/>
  <c r="Y30" i="1"/>
  <c r="Z30" i="1"/>
  <c r="AA30" i="1"/>
  <c r="AB30" i="1"/>
  <c r="AE30" i="1"/>
  <c r="AF30" i="1"/>
  <c r="AG30" i="1"/>
  <c r="AH30" i="1"/>
  <c r="AJ30" i="1"/>
  <c r="AK30" i="1"/>
  <c r="AL30" i="1"/>
  <c r="AM30" i="1"/>
  <c r="AN30" i="1"/>
  <c r="AO30" i="1"/>
  <c r="AV30" i="1"/>
  <c r="BA30" i="1"/>
  <c r="AS32" i="1"/>
  <c r="N32" i="1"/>
  <c r="BA32" i="1"/>
  <c r="N33" i="1"/>
  <c r="U33" i="1"/>
  <c r="AH33" i="1"/>
  <c r="BA33" i="1"/>
  <c r="N34" i="1"/>
  <c r="U34" i="1"/>
  <c r="AS34" i="1"/>
  <c r="BA34" i="1"/>
  <c r="N35" i="1"/>
  <c r="P35" i="1"/>
  <c r="U35" i="1"/>
  <c r="AS35" i="1"/>
  <c r="AZ35" i="1"/>
  <c r="AS36" i="1"/>
  <c r="N36" i="1"/>
  <c r="U36" i="1"/>
  <c r="AQ36" i="1"/>
  <c r="BA36" i="1"/>
  <c r="G37" i="1"/>
  <c r="AQ37" i="1" s="1"/>
  <c r="AS37" i="1"/>
  <c r="BA37" i="1"/>
  <c r="L38" i="1"/>
  <c r="O38" i="1"/>
  <c r="S38" i="1"/>
  <c r="T38" i="1"/>
  <c r="U38" i="1"/>
  <c r="AA38" i="1"/>
  <c r="AC38" i="1"/>
  <c r="AS38" i="1"/>
  <c r="Z39" i="1"/>
  <c r="AM39" i="1"/>
  <c r="AS39" i="1"/>
  <c r="BA39" i="1"/>
  <c r="J40" i="1"/>
  <c r="K40" i="1"/>
  <c r="AK40" i="1"/>
  <c r="AP40" i="1"/>
  <c r="AS40" i="1"/>
  <c r="BA40" i="1"/>
  <c r="AS41" i="1"/>
  <c r="AH41" i="1"/>
  <c r="AI41" i="1"/>
  <c r="AN41" i="1"/>
  <c r="AP41" i="1"/>
  <c r="AQ41" i="1"/>
  <c r="BA41" i="1"/>
  <c r="AS42" i="1"/>
  <c r="E42" i="1"/>
  <c r="G42" i="1"/>
  <c r="X42" i="1"/>
  <c r="BA42" i="1"/>
  <c r="R13" i="3"/>
  <c r="AS43" i="1"/>
  <c r="BA43" i="1"/>
  <c r="U44" i="1"/>
  <c r="AA44" i="1"/>
  <c r="AS44" i="1"/>
  <c r="K45" i="1"/>
  <c r="K47" i="1" s="1"/>
  <c r="K49" i="1" s="1"/>
  <c r="M50" i="5" s="1"/>
  <c r="S45" i="1"/>
  <c r="AM45" i="1"/>
  <c r="AS45" i="1"/>
  <c r="AZ45" i="1"/>
  <c r="H46" i="1"/>
  <c r="AS46" i="1"/>
  <c r="BA46" i="1"/>
  <c r="P47" i="1"/>
  <c r="S47" i="1"/>
  <c r="AB47" i="1"/>
  <c r="AM47" i="1"/>
  <c r="L49" i="1"/>
  <c r="M19" i="5" s="1"/>
  <c r="P49" i="1"/>
  <c r="M23" i="5" s="1"/>
  <c r="S49" i="1"/>
  <c r="M26" i="5" s="1"/>
  <c r="AB49" i="1"/>
  <c r="M51" i="5" s="1"/>
  <c r="AM49" i="1"/>
  <c r="M45" i="5" s="1"/>
  <c r="O51" i="1"/>
  <c r="N22" i="5" s="1"/>
  <c r="AB22" i="5" s="1"/>
  <c r="P51" i="1"/>
  <c r="N23" i="5" s="1"/>
  <c r="AB23" i="5" s="1"/>
  <c r="AA51" i="1"/>
  <c r="N34" i="5" s="1"/>
  <c r="AB34" i="5" s="1"/>
  <c r="R56" i="1"/>
  <c r="Z56" i="1"/>
  <c r="AF56" i="1"/>
  <c r="AJ56" i="1"/>
  <c r="AK56" i="1"/>
  <c r="AM56" i="1"/>
  <c r="AM62" i="1" s="1"/>
  <c r="AS56" i="1"/>
  <c r="K57" i="1"/>
  <c r="K62" i="1" s="1"/>
  <c r="AF57" i="1"/>
  <c r="AJ57" i="1"/>
  <c r="AK57" i="1"/>
  <c r="AK62" i="1" s="1"/>
  <c r="AL57" i="1"/>
  <c r="AM57" i="1"/>
  <c r="AS57" i="1"/>
  <c r="AS58" i="1"/>
  <c r="AI62" i="1"/>
  <c r="AN58" i="1"/>
  <c r="AO58" i="1"/>
  <c r="AS59" i="1"/>
  <c r="H59" i="1"/>
  <c r="J59" i="1"/>
  <c r="AF59" i="1"/>
  <c r="AH59" i="1"/>
  <c r="AH62" i="1" s="1"/>
  <c r="AK59" i="1"/>
  <c r="AL59" i="1"/>
  <c r="AM59" i="1"/>
  <c r="AN59" i="1"/>
  <c r="O60" i="1"/>
  <c r="O62" i="1" s="1"/>
  <c r="P60" i="1"/>
  <c r="AB60" i="1"/>
  <c r="AH60" i="1"/>
  <c r="AS60" i="1"/>
  <c r="AS61" i="1"/>
  <c r="AQ61" i="1"/>
  <c r="AR61" i="1" s="1"/>
  <c r="AT61" i="1"/>
  <c r="AU61" i="1" s="1"/>
  <c r="AW61" i="1" s="1"/>
  <c r="D62" i="1"/>
  <c r="D51" i="1" s="1"/>
  <c r="N11" i="5" s="1"/>
  <c r="AB11" i="5" s="1"/>
  <c r="E62" i="1"/>
  <c r="F62" i="1"/>
  <c r="G62" i="1"/>
  <c r="G66" i="1" s="1"/>
  <c r="H62" i="1"/>
  <c r="I62" i="1"/>
  <c r="L62" i="1"/>
  <c r="L66" i="1" s="1"/>
  <c r="M62" i="1"/>
  <c r="N62" i="1"/>
  <c r="P62" i="1"/>
  <c r="P66" i="1" s="1"/>
  <c r="Q62" i="1"/>
  <c r="R62" i="1"/>
  <c r="S62" i="1"/>
  <c r="T62" i="1"/>
  <c r="T66" i="1" s="1"/>
  <c r="U62" i="1"/>
  <c r="V62" i="1"/>
  <c r="W62" i="1"/>
  <c r="Y62" i="1"/>
  <c r="AA62" i="1"/>
  <c r="AB62" i="1"/>
  <c r="AC62" i="1"/>
  <c r="AC51" i="1" s="1"/>
  <c r="AD62" i="1"/>
  <c r="AE62" i="1"/>
  <c r="AF62" i="1"/>
  <c r="AG62" i="1"/>
  <c r="AO62" i="1"/>
  <c r="AO51" i="1" s="1"/>
  <c r="C63" i="1"/>
  <c r="A66" i="1"/>
  <c r="E66" i="1"/>
  <c r="F66" i="1"/>
  <c r="I66" i="1"/>
  <c r="M66" i="1"/>
  <c r="N66" i="1"/>
  <c r="Q66" i="1"/>
  <c r="R66" i="1"/>
  <c r="S66" i="1"/>
  <c r="U66" i="1"/>
  <c r="V66" i="1"/>
  <c r="W66" i="1"/>
  <c r="Y66" i="1"/>
  <c r="AD66" i="1"/>
  <c r="AE66" i="1"/>
  <c r="AG66" i="1"/>
  <c r="A70" i="1"/>
  <c r="L70" i="1"/>
  <c r="P70" i="1"/>
  <c r="S70" i="1"/>
  <c r="AB70" i="1"/>
  <c r="S77" i="1"/>
  <c r="AB66" i="1" l="1"/>
  <c r="AM70" i="1"/>
  <c r="AM51" i="1"/>
  <c r="N45" i="5" s="1"/>
  <c r="AB45" i="5" s="1"/>
  <c r="AM66" i="1"/>
  <c r="K70" i="1"/>
  <c r="K51" i="1"/>
  <c r="N50" i="5" s="1"/>
  <c r="AB50" i="5" s="1"/>
  <c r="K66" i="1"/>
  <c r="N47" i="5"/>
  <c r="AB47" i="5" s="1"/>
  <c r="AO66" i="1"/>
  <c r="AI51" i="1"/>
  <c r="N41" i="5" s="1"/>
  <c r="AB41" i="5" s="1"/>
  <c r="AI66" i="1"/>
  <c r="AA46" i="5"/>
  <c r="AH51" i="1"/>
  <c r="N40" i="5" s="1"/>
  <c r="AB40" i="5" s="1"/>
  <c r="AS62" i="1"/>
  <c r="AK51" i="1"/>
  <c r="N43" i="5" s="1"/>
  <c r="AB43" i="5" s="1"/>
  <c r="N52" i="5"/>
  <c r="AB52" i="5" s="1"/>
  <c r="AC66" i="1"/>
  <c r="O66" i="1"/>
  <c r="AA45" i="5"/>
  <c r="E33" i="2"/>
  <c r="AE8" i="2"/>
  <c r="AJ8" i="2"/>
  <c r="AO8" i="2" s="1"/>
  <c r="AX8" i="2" s="1"/>
  <c r="BC8" i="2" s="1"/>
  <c r="BH8" i="2" s="1"/>
  <c r="BL8" i="2" s="1"/>
  <c r="BP8" i="2" s="1"/>
  <c r="BT8" i="2" s="1"/>
  <c r="BY8" i="2" s="1"/>
  <c r="CD8" i="2" s="1"/>
  <c r="CI8" i="2" s="1"/>
  <c r="CN8" i="2" s="1"/>
  <c r="CS8" i="2" s="1"/>
  <c r="CX8" i="2" s="1"/>
  <c r="DC8" i="2" s="1"/>
  <c r="DH8" i="2" s="1"/>
  <c r="P77" i="1"/>
  <c r="L77" i="1"/>
  <c r="AA66" i="1"/>
  <c r="AB51" i="1"/>
  <c r="N51" i="5" s="1"/>
  <c r="AB51" i="5" s="1"/>
  <c r="H51" i="1"/>
  <c r="N16" i="5" s="1"/>
  <c r="AA23" i="5"/>
  <c r="AA50" i="5"/>
  <c r="D47" i="1"/>
  <c r="D49" i="1" s="1"/>
  <c r="AS33" i="1"/>
  <c r="AS30" i="1"/>
  <c r="J41" i="2"/>
  <c r="L41" i="2" s="1"/>
  <c r="BO30" i="2"/>
  <c r="Q45" i="1" s="1"/>
  <c r="Q38" i="1"/>
  <c r="Q47" i="1" s="1"/>
  <c r="Q49" i="1" s="1"/>
  <c r="BL37" i="3"/>
  <c r="X14" i="5"/>
  <c r="D14" i="4"/>
  <c r="C33" i="4" s="1"/>
  <c r="AA19" i="5"/>
  <c r="AS51" i="1"/>
  <c r="AA51" i="5"/>
  <c r="AR37" i="1"/>
  <c r="AT37" i="1"/>
  <c r="AT36" i="1"/>
  <c r="AU36" i="1" s="1"/>
  <c r="AW36" i="1" s="1"/>
  <c r="AR36" i="1"/>
  <c r="AS21" i="1"/>
  <c r="DG25" i="2"/>
  <c r="DF30" i="2"/>
  <c r="CR24" i="2"/>
  <c r="CR59" i="2" s="1"/>
  <c r="CR22" i="2"/>
  <c r="W45" i="1" s="1"/>
  <c r="W38" i="1"/>
  <c r="W47" i="1" s="1"/>
  <c r="W49" i="1" s="1"/>
  <c r="BG17" i="2"/>
  <c r="O45" i="1" s="1"/>
  <c r="O47" i="1" s="1"/>
  <c r="O49" i="1" s="1"/>
  <c r="U21" i="2"/>
  <c r="U30" i="2"/>
  <c r="AU37" i="1"/>
  <c r="AW37" i="1" s="1"/>
  <c r="G18" i="1"/>
  <c r="Q27" i="2"/>
  <c r="Q31" i="2"/>
  <c r="G38" i="1" s="1"/>
  <c r="CW20" i="2"/>
  <c r="X45" i="1" s="1"/>
  <c r="X47" i="1" s="1"/>
  <c r="X49" i="1" s="1"/>
  <c r="CW22" i="2"/>
  <c r="CW55" i="2" s="1"/>
  <c r="D66" i="1"/>
  <c r="AA26" i="5"/>
  <c r="AC45" i="1"/>
  <c r="AC47" i="1" s="1"/>
  <c r="AC49" i="1" s="1"/>
  <c r="AT41" i="1"/>
  <c r="AU41" i="1" s="1"/>
  <c r="AW41" i="1" s="1"/>
  <c r="AR41" i="1"/>
  <c r="AQ18" i="1"/>
  <c r="CM32" i="2"/>
  <c r="AW17" i="2"/>
  <c r="AV22" i="2" s="1"/>
  <c r="P13" i="4" s="1"/>
  <c r="BL57" i="3"/>
  <c r="BM57" i="3" s="1"/>
  <c r="AD30" i="2"/>
  <c r="BA22" i="2"/>
  <c r="DA21" i="2"/>
  <c r="DB20" i="2"/>
  <c r="DB21" i="2" s="1"/>
  <c r="AC21" i="2"/>
  <c r="AC23" i="2" s="1"/>
  <c r="AD20" i="2"/>
  <c r="AV19" i="2"/>
  <c r="AD19" i="2"/>
  <c r="DF22" i="2"/>
  <c r="DG17" i="2"/>
  <c r="Z57" i="1" s="1"/>
  <c r="Z62" i="1" s="1"/>
  <c r="AN20" i="2"/>
  <c r="AN59" i="2" s="1"/>
  <c r="J15" i="2"/>
  <c r="J27" i="2" s="1"/>
  <c r="I27" i="2"/>
  <c r="DL15" i="2"/>
  <c r="DL17" i="2" s="1"/>
  <c r="BL68" i="3"/>
  <c r="BM68" i="3" s="1"/>
  <c r="BK46" i="3"/>
  <c r="BL46" i="3" s="1"/>
  <c r="BM46" i="3" s="1"/>
  <c r="AD45" i="3"/>
  <c r="AD53" i="3" s="1"/>
  <c r="AC53" i="3"/>
  <c r="AD30" i="3"/>
  <c r="BK93" i="3"/>
  <c r="AD24" i="3"/>
  <c r="BK89" i="3"/>
  <c r="AG24" i="3"/>
  <c r="AI22" i="3"/>
  <c r="J21" i="3"/>
  <c r="AH19" i="3"/>
  <c r="AI17" i="3"/>
  <c r="T13" i="3"/>
  <c r="R15" i="3"/>
  <c r="DE22" i="2"/>
  <c r="AW15" i="2"/>
  <c r="CC17" i="2"/>
  <c r="T45" i="1" s="1"/>
  <c r="T47" i="1" s="1"/>
  <c r="T49" i="1" s="1"/>
  <c r="AD17" i="2"/>
  <c r="BM61" i="3"/>
  <c r="BL61" i="3"/>
  <c r="BC29" i="3"/>
  <c r="BC101" i="3" s="1"/>
  <c r="D23" i="2"/>
  <c r="E17" i="1" s="1"/>
  <c r="CH15" i="2"/>
  <c r="U32" i="1" s="1"/>
  <c r="BS15" i="2"/>
  <c r="BS21" i="2" s="1"/>
  <c r="BS23" i="2" s="1"/>
  <c r="BS27" i="2" s="1"/>
  <c r="BC15" i="3"/>
  <c r="AN56" i="1" s="1"/>
  <c r="AN62" i="1" s="1"/>
  <c r="BB17" i="3"/>
  <c r="BB20" i="3" s="1"/>
  <c r="BK79" i="3" s="1"/>
  <c r="BC17" i="3"/>
  <c r="BC20" i="3" s="1"/>
  <c r="BC105" i="3" s="1"/>
  <c r="AN28" i="3"/>
  <c r="AK45" i="1" s="1"/>
  <c r="AK47" i="1" s="1"/>
  <c r="AK49" i="1" s="1"/>
  <c r="AQ27" i="3"/>
  <c r="AS22" i="3"/>
  <c r="BH19" i="3"/>
  <c r="BG20" i="3"/>
  <c r="O20" i="3"/>
  <c r="AC33" i="3"/>
  <c r="AD17" i="3"/>
  <c r="Y21" i="3"/>
  <c r="Y23" i="3" s="1"/>
  <c r="Y28" i="3" s="1"/>
  <c r="Y64" i="3" s="1"/>
  <c r="X23" i="5"/>
  <c r="AR34" i="3"/>
  <c r="AS30" i="3"/>
  <c r="AS34" i="3" s="1"/>
  <c r="O25" i="3"/>
  <c r="AS19" i="3"/>
  <c r="X21" i="3"/>
  <c r="X23" i="3" s="1"/>
  <c r="X28" i="3" s="1"/>
  <c r="AH34" i="1" s="1"/>
  <c r="AQ34" i="1" s="1"/>
  <c r="I21" i="4"/>
  <c r="M25" i="3"/>
  <c r="I55" i="5"/>
  <c r="F57" i="5"/>
  <c r="AI2" i="3"/>
  <c r="O2" i="3"/>
  <c r="K18" i="4"/>
  <c r="K21" i="4" s="1"/>
  <c r="V23" i="5"/>
  <c r="X20" i="5"/>
  <c r="AM63" i="7"/>
  <c r="AM57" i="7"/>
  <c r="AL63" i="7"/>
  <c r="AV22" i="7"/>
  <c r="AS22" i="7"/>
  <c r="I16" i="5"/>
  <c r="AN62" i="7"/>
  <c r="AP62" i="7"/>
  <c r="AQ62" i="7" s="1"/>
  <c r="AS62" i="7" s="1"/>
  <c r="AQ31" i="7"/>
  <c r="AS27" i="7"/>
  <c r="AS31" i="7" s="1"/>
  <c r="AQ19" i="7"/>
  <c r="AS19" i="7" s="1"/>
  <c r="AO22" i="7"/>
  <c r="AP60" i="7"/>
  <c r="AQ60" i="7" s="1"/>
  <c r="AS60" i="7" s="1"/>
  <c r="AN60" i="7"/>
  <c r="AO63" i="7"/>
  <c r="AO48" i="7"/>
  <c r="AL50" i="7"/>
  <c r="AH50" i="7"/>
  <c r="AD50" i="7"/>
  <c r="H50" i="7"/>
  <c r="AM22" i="7"/>
  <c r="D50" i="7"/>
  <c r="AU18" i="7"/>
  <c r="AQ22" i="7"/>
  <c r="I15" i="5"/>
  <c r="I17" i="5"/>
  <c r="AN58" i="7"/>
  <c r="AP58" i="7"/>
  <c r="AQ58" i="7" s="1"/>
  <c r="AS58" i="7" s="1"/>
  <c r="AM52" i="7"/>
  <c r="C54" i="7"/>
  <c r="AN45" i="7"/>
  <c r="AP45" i="7"/>
  <c r="AQ45" i="7" s="1"/>
  <c r="AS45" i="7" s="1"/>
  <c r="AN44" i="7"/>
  <c r="AP44" i="7"/>
  <c r="AQ44" i="7" s="1"/>
  <c r="AS44" i="7" s="1"/>
  <c r="AN43" i="7"/>
  <c r="AP43" i="7"/>
  <c r="AQ43" i="7" s="1"/>
  <c r="AS43" i="7" s="1"/>
  <c r="AN42" i="7"/>
  <c r="AP42" i="7"/>
  <c r="AQ42" i="7" s="1"/>
  <c r="AS42" i="7" s="1"/>
  <c r="AN41" i="7"/>
  <c r="AP41" i="7"/>
  <c r="AQ41" i="7" s="1"/>
  <c r="AS41" i="7" s="1"/>
  <c r="AN40" i="7"/>
  <c r="AP40" i="7"/>
  <c r="AM48" i="7"/>
  <c r="AN31" i="7"/>
  <c r="AN19" i="7"/>
  <c r="AW18" i="7"/>
  <c r="AR15" i="7"/>
  <c r="M24" i="5" l="1"/>
  <c r="Q70" i="1"/>
  <c r="M43" i="5"/>
  <c r="AK70" i="1"/>
  <c r="M22" i="5"/>
  <c r="O70" i="1"/>
  <c r="M31" i="5"/>
  <c r="X60" i="1"/>
  <c r="AR34" i="1"/>
  <c r="AT34" i="1"/>
  <c r="AU34" i="1" s="1"/>
  <c r="AW34" i="1" s="1"/>
  <c r="AD57" i="3"/>
  <c r="AD59" i="3"/>
  <c r="AI45" i="1" s="1"/>
  <c r="AI42" i="1"/>
  <c r="Z51" i="1"/>
  <c r="N33" i="5" s="1"/>
  <c r="AB33" i="5" s="1"/>
  <c r="AW22" i="7"/>
  <c r="AX18" i="7"/>
  <c r="O27" i="3"/>
  <c r="AF45" i="1" s="1"/>
  <c r="AF39" i="1"/>
  <c r="AF47" i="1" s="1"/>
  <c r="AF49" i="1" s="1"/>
  <c r="M27" i="5"/>
  <c r="T70" i="1"/>
  <c r="J23" i="3"/>
  <c r="BK31" i="3"/>
  <c r="BA24" i="2"/>
  <c r="BB24" i="2" s="1"/>
  <c r="N44" i="1" s="1"/>
  <c r="BB22" i="2"/>
  <c r="BB25" i="2" s="1"/>
  <c r="BB27" i="2" s="1"/>
  <c r="BA25" i="2"/>
  <c r="M30" i="5"/>
  <c r="W70" i="1"/>
  <c r="AN48" i="7"/>
  <c r="AU22" i="7"/>
  <c r="AN57" i="7"/>
  <c r="AN63" i="7" s="1"/>
  <c r="AP57" i="7"/>
  <c r="AD33" i="3"/>
  <c r="AD105" i="3" s="1"/>
  <c r="BH20" i="3"/>
  <c r="AO40" i="1"/>
  <c r="AN29" i="3"/>
  <c r="AN101" i="3" s="1"/>
  <c r="E21" i="1"/>
  <c r="BL89" i="3"/>
  <c r="BM89" i="3" s="1"/>
  <c r="BK48" i="3"/>
  <c r="AV23" i="2"/>
  <c r="AW26" i="2" s="1"/>
  <c r="BO31" i="2"/>
  <c r="BO59" i="2" s="1"/>
  <c r="BG19" i="2"/>
  <c r="BG59" i="2" s="1"/>
  <c r="AS47" i="1"/>
  <c r="AK66" i="1"/>
  <c r="AM77" i="1"/>
  <c r="AP48" i="7"/>
  <c r="AP50" i="7" s="1"/>
  <c r="AQ40" i="7"/>
  <c r="AS40" i="7" s="1"/>
  <c r="AS48" i="7"/>
  <c r="AS50" i="7" s="1"/>
  <c r="AS54" i="7" s="1"/>
  <c r="P15" i="4"/>
  <c r="P30" i="2"/>
  <c r="Q30" i="2" s="1"/>
  <c r="C40" i="2"/>
  <c r="J43" i="2"/>
  <c r="AN52" i="7"/>
  <c r="AQ52" i="7" s="1"/>
  <c r="AS52" i="7" s="1"/>
  <c r="AP52" i="7"/>
  <c r="I54" i="5"/>
  <c r="AN22" i="7"/>
  <c r="AN50" i="7" s="1"/>
  <c r="AM50" i="7"/>
  <c r="AQ48" i="7"/>
  <c r="AQ50" i="7" s="1"/>
  <c r="AQ54" i="7" s="1"/>
  <c r="AS38" i="3"/>
  <c r="AL45" i="1" s="1"/>
  <c r="AL39" i="1"/>
  <c r="AL47" i="1" s="1"/>
  <c r="AL49" i="1" s="1"/>
  <c r="M44" i="5" s="1"/>
  <c r="AS39" i="3"/>
  <c r="AS101" i="3" s="1"/>
  <c r="Y66" i="3"/>
  <c r="AH45" i="1" s="1"/>
  <c r="O105" i="3"/>
  <c r="AF51" i="1"/>
  <c r="BL79" i="3"/>
  <c r="BM79" i="3"/>
  <c r="BK94" i="3"/>
  <c r="BK95" i="3" s="1"/>
  <c r="CH22" i="2"/>
  <c r="CH25" i="2" s="1"/>
  <c r="CH27" i="2" s="1"/>
  <c r="CC18" i="2"/>
  <c r="CC59" i="2" s="1"/>
  <c r="T15" i="3"/>
  <c r="T17" i="3" s="1"/>
  <c r="AG43" i="1"/>
  <c r="AI24" i="3"/>
  <c r="AI26" i="3" s="1"/>
  <c r="AJ39" i="1"/>
  <c r="BL93" i="3"/>
  <c r="BM93" i="3"/>
  <c r="DG22" i="2"/>
  <c r="DG63" i="2" s="1"/>
  <c r="M52" i="5"/>
  <c r="AC70" i="1"/>
  <c r="G17" i="1"/>
  <c r="G21" i="1" s="1"/>
  <c r="AS49" i="1"/>
  <c r="AS53" i="1" s="1"/>
  <c r="BK47" i="3"/>
  <c r="K43" i="2"/>
  <c r="K44" i="2"/>
  <c r="F38" i="1" s="1"/>
  <c r="F17" i="1"/>
  <c r="F21" i="1" s="1"/>
  <c r="M11" i="5"/>
  <c r="D70" i="1"/>
  <c r="D53" i="1"/>
  <c r="H66" i="1"/>
  <c r="AV39" i="7"/>
  <c r="AV45" i="7"/>
  <c r="AS27" i="3"/>
  <c r="AS105" i="3" s="1"/>
  <c r="AL56" i="1"/>
  <c r="R42" i="1"/>
  <c r="BS29" i="2"/>
  <c r="R45" i="1" s="1"/>
  <c r="DL18" i="2"/>
  <c r="AA45" i="1" s="1"/>
  <c r="AA47" i="1" s="1"/>
  <c r="AA49" i="1" s="1"/>
  <c r="AT18" i="1"/>
  <c r="AU18" i="1" s="1"/>
  <c r="AW18" i="1" s="1"/>
  <c r="AR18" i="1"/>
  <c r="U32" i="2"/>
  <c r="U59" i="2" s="1"/>
  <c r="H45" i="1"/>
  <c r="H47" i="1" s="1"/>
  <c r="H49" i="1" s="1"/>
  <c r="Z38" i="1"/>
  <c r="DG30" i="2"/>
  <c r="AB16" i="5"/>
  <c r="D40" i="2"/>
  <c r="D41" i="2"/>
  <c r="E38" i="1" s="1"/>
  <c r="AS66" i="1"/>
  <c r="AS70" i="1"/>
  <c r="AO50" i="7"/>
  <c r="AO54" i="7" s="1"/>
  <c r="AH47" i="1"/>
  <c r="AH49" i="1" s="1"/>
  <c r="AN51" i="1"/>
  <c r="N46" i="5" s="1"/>
  <c r="AN66" i="1"/>
  <c r="AN70" i="1"/>
  <c r="AI19" i="3"/>
  <c r="AI105" i="3" s="1"/>
  <c r="AJ59" i="1"/>
  <c r="AD21" i="2"/>
  <c r="AD23" i="2" s="1"/>
  <c r="DB23" i="2"/>
  <c r="Y35" i="1"/>
  <c r="CM34" i="2"/>
  <c r="V45" i="1" s="1"/>
  <c r="CM35" i="2"/>
  <c r="CM59" i="2" s="1"/>
  <c r="V38" i="1"/>
  <c r="V47" i="1" s="1"/>
  <c r="V49" i="1" s="1"/>
  <c r="BL47" i="3"/>
  <c r="AP42" i="1"/>
  <c r="BM37" i="3"/>
  <c r="BM47" i="3" s="1"/>
  <c r="AH66" i="1"/>
  <c r="J39" i="1" l="1"/>
  <c r="AD33" i="2"/>
  <c r="P11" i="5"/>
  <c r="P26" i="5" s="1"/>
  <c r="AA11" i="5"/>
  <c r="P23" i="5"/>
  <c r="P51" i="5"/>
  <c r="AI28" i="3"/>
  <c r="AJ45" i="1" s="1"/>
  <c r="AA30" i="5"/>
  <c r="BL31" i="3"/>
  <c r="AW15" i="7"/>
  <c r="AX22" i="7"/>
  <c r="O77" i="1"/>
  <c r="AN77" i="1"/>
  <c r="AJ62" i="1"/>
  <c r="AB46" i="5"/>
  <c r="E44" i="2"/>
  <c r="E46" i="2" s="1"/>
  <c r="E35" i="1"/>
  <c r="DL19" i="2"/>
  <c r="DL59" i="2" s="1"/>
  <c r="AL62" i="1"/>
  <c r="AW39" i="7"/>
  <c r="AV48" i="7"/>
  <c r="AV50" i="7" s="1"/>
  <c r="AZ38" i="1"/>
  <c r="D77" i="1"/>
  <c r="AA52" i="5"/>
  <c r="AJ47" i="1"/>
  <c r="AJ49" i="1" s="1"/>
  <c r="M42" i="5" s="1"/>
  <c r="BL94" i="3"/>
  <c r="AQ58" i="1" s="1"/>
  <c r="Y68" i="3"/>
  <c r="Y104" i="3" s="1"/>
  <c r="AW29" i="2"/>
  <c r="AW59" i="2" s="1"/>
  <c r="AW28" i="2"/>
  <c r="M45" i="1" s="1"/>
  <c r="M35" i="1"/>
  <c r="M47" i="1" s="1"/>
  <c r="M49" i="1" s="1"/>
  <c r="AO47" i="1"/>
  <c r="AO49" i="1" s="1"/>
  <c r="AQ40" i="1"/>
  <c r="AQ57" i="7"/>
  <c r="AP63" i="7"/>
  <c r="W77" i="1"/>
  <c r="AA27" i="5"/>
  <c r="Z66" i="1"/>
  <c r="AD61" i="3"/>
  <c r="AD101" i="3" s="1"/>
  <c r="AA31" i="5"/>
  <c r="AA43" i="5"/>
  <c r="AS77" i="1"/>
  <c r="CH28" i="2"/>
  <c r="U45" i="1" s="1"/>
  <c r="U47" i="1" s="1"/>
  <c r="U49" i="1" s="1"/>
  <c r="CH29" i="2"/>
  <c r="CH59" i="2" s="1"/>
  <c r="G35" i="1"/>
  <c r="M29" i="5"/>
  <c r="V70" i="1"/>
  <c r="AQ42" i="1"/>
  <c r="R47" i="1"/>
  <c r="R49" i="1" s="1"/>
  <c r="AW45" i="7"/>
  <c r="AZ44" i="1"/>
  <c r="F35" i="1"/>
  <c r="L45" i="2"/>
  <c r="AQ43" i="1"/>
  <c r="AA44" i="5"/>
  <c r="AN54" i="7"/>
  <c r="P32" i="2"/>
  <c r="Q32" i="2" s="1"/>
  <c r="G44" i="1" s="1"/>
  <c r="J47" i="2"/>
  <c r="K47" i="2" s="1"/>
  <c r="C42" i="2"/>
  <c r="D42" i="2" s="1"/>
  <c r="E44" i="1" s="1"/>
  <c r="AQ17" i="1"/>
  <c r="J25" i="3"/>
  <c r="AE45" i="1" s="1"/>
  <c r="AE44" i="1"/>
  <c r="O28" i="3"/>
  <c r="O101" i="3" s="1"/>
  <c r="AI47" i="1"/>
  <c r="AI49" i="1" s="1"/>
  <c r="AA22" i="5"/>
  <c r="AA24" i="5"/>
  <c r="M40" i="5"/>
  <c r="AH70" i="1"/>
  <c r="DG32" i="2"/>
  <c r="Z45" i="1" s="1"/>
  <c r="Z47" i="1" s="1"/>
  <c r="Z49" i="1" s="1"/>
  <c r="DG34" i="2"/>
  <c r="DG59" i="2" s="1"/>
  <c r="N38" i="5"/>
  <c r="AB38" i="5" s="1"/>
  <c r="AF66" i="1"/>
  <c r="BH22" i="3"/>
  <c r="AO45" i="1" s="1"/>
  <c r="BH23" i="3"/>
  <c r="BH100" i="3" s="1"/>
  <c r="M38" i="5"/>
  <c r="AF70" i="1"/>
  <c r="Q77" i="1"/>
  <c r="DB25" i="2"/>
  <c r="Y45" i="1" s="1"/>
  <c r="Y47" i="1" s="1"/>
  <c r="Y49" i="1" s="1"/>
  <c r="M16" i="5"/>
  <c r="H70" i="1"/>
  <c r="M34" i="5"/>
  <c r="AA70" i="1"/>
  <c r="BS31" i="2"/>
  <c r="BS59" i="2" s="1"/>
  <c r="T19" i="3"/>
  <c r="AG46" i="1" s="1"/>
  <c r="AQ46" i="1" s="1"/>
  <c r="T21" i="3"/>
  <c r="T101" i="3" s="1"/>
  <c r="BM94" i="3"/>
  <c r="P17" i="4"/>
  <c r="P19" i="4" s="1"/>
  <c r="BB29" i="2"/>
  <c r="N45" i="1" s="1"/>
  <c r="N47" i="1" s="1"/>
  <c r="N49" i="1" s="1"/>
  <c r="BB30" i="2"/>
  <c r="BB59" i="2" s="1"/>
  <c r="T77" i="1"/>
  <c r="X62" i="1"/>
  <c r="AQ60" i="1"/>
  <c r="AK77" i="1"/>
  <c r="M33" i="5" l="1"/>
  <c r="Z70" i="1"/>
  <c r="M21" i="5"/>
  <c r="N70" i="1"/>
  <c r="M32" i="5"/>
  <c r="Y70" i="1"/>
  <c r="AR60" i="1"/>
  <c r="AT60" i="1"/>
  <c r="AU60" i="1" s="1"/>
  <c r="AW60" i="1" s="1"/>
  <c r="P40" i="5"/>
  <c r="AA40" i="5"/>
  <c r="M47" i="5"/>
  <c r="AO70" i="1"/>
  <c r="H77" i="1"/>
  <c r="P38" i="5"/>
  <c r="AA38" i="5"/>
  <c r="AH77" i="1"/>
  <c r="P24" i="5"/>
  <c r="M41" i="5"/>
  <c r="AI70" i="1"/>
  <c r="M25" i="5"/>
  <c r="R70" i="1"/>
  <c r="AA29" i="5"/>
  <c r="P29" i="5"/>
  <c r="M28" i="5"/>
  <c r="U70" i="1"/>
  <c r="P43" i="5"/>
  <c r="P27" i="5"/>
  <c r="AT40" i="1"/>
  <c r="AU40" i="1" s="1"/>
  <c r="AW40" i="1" s="1"/>
  <c r="AR40" i="1"/>
  <c r="P52" i="5"/>
  <c r="AW48" i="7"/>
  <c r="AW50" i="7" s="1"/>
  <c r="AQ35" i="1"/>
  <c r="P30" i="5"/>
  <c r="P46" i="5"/>
  <c r="P50" i="5"/>
  <c r="P16" i="5"/>
  <c r="AA16" i="5"/>
  <c r="E48" i="2"/>
  <c r="E45" i="1" s="1"/>
  <c r="E47" i="1" s="1"/>
  <c r="E49" i="1" s="1"/>
  <c r="X51" i="1"/>
  <c r="N31" i="5" s="1"/>
  <c r="X70" i="1"/>
  <c r="AR46" i="1"/>
  <c r="AT46" i="1"/>
  <c r="AU46" i="1" s="1"/>
  <c r="AW46" i="1" s="1"/>
  <c r="AA77" i="1"/>
  <c r="P22" i="5"/>
  <c r="AE47" i="1"/>
  <c r="AE49" i="1" s="1"/>
  <c r="AG47" i="1"/>
  <c r="AG49" i="1" s="1"/>
  <c r="Q33" i="2"/>
  <c r="Q48" i="2" s="1"/>
  <c r="M20" i="5"/>
  <c r="M70" i="1"/>
  <c r="AT58" i="1"/>
  <c r="AU58" i="1" s="1"/>
  <c r="AW58" i="1" s="1"/>
  <c r="AR58" i="1"/>
  <c r="AZ47" i="1"/>
  <c r="AL70" i="1"/>
  <c r="AL66" i="1"/>
  <c r="AL51" i="1"/>
  <c r="N44" i="5" s="1"/>
  <c r="BM31" i="3"/>
  <c r="AI29" i="3"/>
  <c r="AI101" i="3" s="1"/>
  <c r="P19" i="5"/>
  <c r="P45" i="5"/>
  <c r="AD34" i="2"/>
  <c r="J45" i="1" s="1"/>
  <c r="AD35" i="2"/>
  <c r="AD59" i="2" s="1"/>
  <c r="AD39" i="2"/>
  <c r="AT17" i="1"/>
  <c r="AR17" i="1"/>
  <c r="AR43" i="1"/>
  <c r="AT43" i="1"/>
  <c r="AU43" i="1" s="1"/>
  <c r="AW43" i="1" s="1"/>
  <c r="AT42" i="1"/>
  <c r="AU42" i="1" s="1"/>
  <c r="AW42" i="1" s="1"/>
  <c r="AR42" i="1"/>
  <c r="AJ51" i="1"/>
  <c r="N42" i="5" s="1"/>
  <c r="AB42" i="5" s="1"/>
  <c r="AJ66" i="1"/>
  <c r="AJ70" i="1"/>
  <c r="P21" i="4"/>
  <c r="O40" i="5" s="1"/>
  <c r="P20" i="4"/>
  <c r="AA34" i="5"/>
  <c r="P34" i="5"/>
  <c r="DB27" i="2"/>
  <c r="DB59" i="2" s="1"/>
  <c r="AF77" i="1"/>
  <c r="J26" i="3"/>
  <c r="J101" i="3" s="1"/>
  <c r="F44" i="1"/>
  <c r="L48" i="2"/>
  <c r="L50" i="2" s="1"/>
  <c r="V77" i="1"/>
  <c r="AQ63" i="7"/>
  <c r="AS57" i="7"/>
  <c r="AS63" i="7" s="1"/>
  <c r="P42" i="5"/>
  <c r="AA42" i="5"/>
  <c r="J47" i="1"/>
  <c r="J49" i="1" s="1"/>
  <c r="M18" i="5" s="1"/>
  <c r="L53" i="2" l="1"/>
  <c r="L59" i="2" s="1"/>
  <c r="L52" i="2"/>
  <c r="F45" i="1" s="1"/>
  <c r="F47" i="1"/>
  <c r="F49" i="1" s="1"/>
  <c r="M13" i="5"/>
  <c r="E70" i="1"/>
  <c r="M39" i="5"/>
  <c r="AG70" i="1"/>
  <c r="X77" i="1"/>
  <c r="O29" i="5"/>
  <c r="N77" i="1"/>
  <c r="AA18" i="5"/>
  <c r="AJ77" i="1"/>
  <c r="AL65" i="1"/>
  <c r="AL75" i="1" s="1"/>
  <c r="AL77" i="1"/>
  <c r="M77" i="1"/>
  <c r="X66" i="1"/>
  <c r="AR35" i="1"/>
  <c r="AT35" i="1"/>
  <c r="AU35" i="1" s="1"/>
  <c r="P28" i="5"/>
  <c r="AA28" i="5"/>
  <c r="O28" i="5"/>
  <c r="R77" i="1"/>
  <c r="R65" i="1"/>
  <c r="R75" i="1" s="1"/>
  <c r="O41" i="5"/>
  <c r="AA41" i="5"/>
  <c r="P41" i="5"/>
  <c r="O38" i="5"/>
  <c r="P21" i="5"/>
  <c r="AA21" i="5"/>
  <c r="O21" i="5"/>
  <c r="D21" i="4"/>
  <c r="C40" i="4" s="1"/>
  <c r="H15" i="5"/>
  <c r="L41" i="5"/>
  <c r="L45" i="5"/>
  <c r="H31" i="5"/>
  <c r="H43" i="5"/>
  <c r="C64" i="1"/>
  <c r="M65" i="1" s="1"/>
  <c r="M75" i="1" s="1"/>
  <c r="H47" i="5"/>
  <c r="H14" i="5"/>
  <c r="L14" i="5"/>
  <c r="H17" i="5"/>
  <c r="H26" i="5"/>
  <c r="H38" i="5"/>
  <c r="L22" i="5"/>
  <c r="H30" i="5"/>
  <c r="L35" i="5"/>
  <c r="AC35" i="5" s="1"/>
  <c r="H21" i="5"/>
  <c r="L29" i="5"/>
  <c r="H39" i="5"/>
  <c r="L46" i="5"/>
  <c r="H51" i="5"/>
  <c r="L43" i="5"/>
  <c r="H22" i="5"/>
  <c r="L34" i="5"/>
  <c r="H42" i="5"/>
  <c r="L50" i="5"/>
  <c r="L11" i="5"/>
  <c r="H29" i="5"/>
  <c r="H32" i="5"/>
  <c r="L38" i="5"/>
  <c r="H23" i="5"/>
  <c r="L30" i="5"/>
  <c r="L52" i="5"/>
  <c r="H11" i="5"/>
  <c r="H16" i="5"/>
  <c r="L16" i="5"/>
  <c r="H19" i="5"/>
  <c r="L28" i="5"/>
  <c r="L17" i="5"/>
  <c r="L23" i="5"/>
  <c r="L31" i="5"/>
  <c r="H36" i="5"/>
  <c r="H24" i="5"/>
  <c r="L33" i="5"/>
  <c r="L40" i="5"/>
  <c r="H48" i="5"/>
  <c r="H52" i="5"/>
  <c r="H45" i="5"/>
  <c r="L27" i="5"/>
  <c r="H37" i="5"/>
  <c r="L44" i="5"/>
  <c r="L51" i="5"/>
  <c r="O26" i="5"/>
  <c r="R26" i="5" s="1"/>
  <c r="L25" i="5"/>
  <c r="L42" i="5"/>
  <c r="L47" i="5"/>
  <c r="H46" i="5"/>
  <c r="H13" i="5"/>
  <c r="L13" i="5"/>
  <c r="L15" i="5"/>
  <c r="L24" i="5"/>
  <c r="H33" i="5"/>
  <c r="H20" i="5"/>
  <c r="H27" i="5"/>
  <c r="H34" i="5"/>
  <c r="L19" i="5"/>
  <c r="H28" i="5"/>
  <c r="L36" i="5"/>
  <c r="H44" i="5"/>
  <c r="H50" i="5"/>
  <c r="H41" i="5"/>
  <c r="L20" i="5"/>
  <c r="L32" i="5"/>
  <c r="H40" i="5"/>
  <c r="R40" i="5" s="1"/>
  <c r="L48" i="5"/>
  <c r="H25" i="5"/>
  <c r="L12" i="5"/>
  <c r="AC12" i="5" s="1"/>
  <c r="H18" i="5"/>
  <c r="L21" i="5"/>
  <c r="L18" i="5"/>
  <c r="L37" i="5"/>
  <c r="L26" i="5"/>
  <c r="L49" i="5"/>
  <c r="AC49" i="5" s="1"/>
  <c r="L39" i="5"/>
  <c r="O23" i="5"/>
  <c r="R23" i="5" s="1"/>
  <c r="O19" i="5"/>
  <c r="O50" i="5"/>
  <c r="R50" i="5" s="1"/>
  <c r="O45" i="5"/>
  <c r="R45" i="5" s="1"/>
  <c r="O51" i="5"/>
  <c r="R51" i="5" s="1"/>
  <c r="O22" i="5"/>
  <c r="R22" i="5" s="1"/>
  <c r="O24" i="5"/>
  <c r="R24" i="5" s="1"/>
  <c r="O30" i="5"/>
  <c r="R30" i="5" s="1"/>
  <c r="O46" i="5"/>
  <c r="R46" i="5" s="1"/>
  <c r="O52" i="5"/>
  <c r="R52" i="5" s="1"/>
  <c r="O27" i="5"/>
  <c r="R27" i="5" s="1"/>
  <c r="O43" i="5"/>
  <c r="R43" i="5" s="1"/>
  <c r="O11" i="5"/>
  <c r="R11" i="5" s="1"/>
  <c r="U77" i="1"/>
  <c r="U65" i="1"/>
  <c r="U75" i="1" s="1"/>
  <c r="O34" i="5"/>
  <c r="R34" i="5" s="1"/>
  <c r="AU17" i="1"/>
  <c r="O20" i="5"/>
  <c r="R20" i="5" s="1"/>
  <c r="AA20" i="5"/>
  <c r="P20" i="5"/>
  <c r="M37" i="5"/>
  <c r="AE70" i="1"/>
  <c r="AB31" i="5"/>
  <c r="O31" i="5"/>
  <c r="P31" i="5"/>
  <c r="O25" i="5"/>
  <c r="R25" i="5" s="1"/>
  <c r="AA25" i="5"/>
  <c r="P25" i="5"/>
  <c r="AO65" i="1"/>
  <c r="AO75" i="1" s="1"/>
  <c r="AO77" i="1"/>
  <c r="Y77" i="1"/>
  <c r="Y65" i="1"/>
  <c r="Y75" i="1" s="1"/>
  <c r="Z77" i="1"/>
  <c r="Z65" i="1"/>
  <c r="Z75" i="1" s="1"/>
  <c r="AI65" i="1"/>
  <c r="AI75" i="1" s="1"/>
  <c r="AI77" i="1"/>
  <c r="O42" i="5"/>
  <c r="AD42" i="2"/>
  <c r="AD63" i="2" s="1"/>
  <c r="J57" i="1"/>
  <c r="AB44" i="5"/>
  <c r="P44" i="5"/>
  <c r="O44" i="5"/>
  <c r="Q50" i="2"/>
  <c r="Q59" i="2" s="1"/>
  <c r="Q49" i="2"/>
  <c r="G45" i="1" s="1"/>
  <c r="G47" i="1" s="1"/>
  <c r="G49" i="1" s="1"/>
  <c r="E49" i="2"/>
  <c r="E59" i="2" s="1"/>
  <c r="O16" i="5"/>
  <c r="R16" i="5" s="1"/>
  <c r="O47" i="5"/>
  <c r="R47" i="5" s="1"/>
  <c r="AA47" i="5"/>
  <c r="P47" i="5"/>
  <c r="AA32" i="5"/>
  <c r="O32" i="5"/>
  <c r="R32" i="5" s="1"/>
  <c r="P32" i="5"/>
  <c r="O33" i="5"/>
  <c r="R33" i="5" s="1"/>
  <c r="AA33" i="5"/>
  <c r="P33" i="5"/>
  <c r="Q31" i="5" l="1"/>
  <c r="AC31" i="5"/>
  <c r="AG65" i="1"/>
  <c r="AG75" i="1" s="1"/>
  <c r="AG77" i="1"/>
  <c r="R44" i="5"/>
  <c r="AE65" i="1"/>
  <c r="AE75" i="1" s="1"/>
  <c r="AE77" i="1"/>
  <c r="Q39" i="5"/>
  <c r="Q18" i="5"/>
  <c r="Q20" i="5"/>
  <c r="AC20" i="5"/>
  <c r="Q36" i="5"/>
  <c r="Q15" i="5"/>
  <c r="Q47" i="5"/>
  <c r="AC47" i="5"/>
  <c r="AC51" i="5"/>
  <c r="Q51" i="5"/>
  <c r="AC33" i="5"/>
  <c r="Q33" i="5"/>
  <c r="AC23" i="5"/>
  <c r="Q23" i="5"/>
  <c r="Q16" i="5"/>
  <c r="AC16" i="5"/>
  <c r="Q30" i="5"/>
  <c r="AC30" i="5"/>
  <c r="Q34" i="5"/>
  <c r="AC34" i="5"/>
  <c r="Q46" i="5"/>
  <c r="AC46" i="5"/>
  <c r="Q45" i="5"/>
  <c r="AC45" i="5"/>
  <c r="R21" i="5"/>
  <c r="R29" i="5"/>
  <c r="O39" i="5"/>
  <c r="R39" i="5" s="1"/>
  <c r="P39" i="5"/>
  <c r="AA39" i="5"/>
  <c r="Q37" i="5"/>
  <c r="AC37" i="5"/>
  <c r="Q40" i="5"/>
  <c r="AC40" i="5"/>
  <c r="AC52" i="5"/>
  <c r="Q52" i="5"/>
  <c r="R38" i="5"/>
  <c r="M14" i="5"/>
  <c r="F70" i="1"/>
  <c r="R42" i="5"/>
  <c r="O37" i="5"/>
  <c r="R37" i="5" s="1"/>
  <c r="AA37" i="5"/>
  <c r="P37" i="5"/>
  <c r="Q21" i="5"/>
  <c r="AC21" i="5"/>
  <c r="Q48" i="5"/>
  <c r="Q13" i="5"/>
  <c r="L54" i="5"/>
  <c r="Q42" i="5"/>
  <c r="AC42" i="5"/>
  <c r="Q44" i="5"/>
  <c r="AC44" i="5"/>
  <c r="Q17" i="5"/>
  <c r="AC11" i="5"/>
  <c r="Q11" i="5"/>
  <c r="AB65" i="1"/>
  <c r="S65" i="1"/>
  <c r="S75" i="1" s="1"/>
  <c r="P65" i="1"/>
  <c r="P75" i="1" s="1"/>
  <c r="L65" i="1"/>
  <c r="L75" i="1" s="1"/>
  <c r="K65" i="1"/>
  <c r="AM65" i="1"/>
  <c r="AM75" i="1" s="1"/>
  <c r="AC65" i="1"/>
  <c r="AK65" i="1"/>
  <c r="AK75" i="1" s="1"/>
  <c r="O65" i="1"/>
  <c r="O75" i="1" s="1"/>
  <c r="AN65" i="1"/>
  <c r="AN75" i="1" s="1"/>
  <c r="AS65" i="1"/>
  <c r="AS75" i="1" s="1"/>
  <c r="W65" i="1"/>
  <c r="W75" i="1" s="1"/>
  <c r="D65" i="1"/>
  <c r="T65" i="1"/>
  <c r="T75" i="1" s="1"/>
  <c r="Q65" i="1"/>
  <c r="Q75" i="1" s="1"/>
  <c r="AF65" i="1"/>
  <c r="AF75" i="1" s="1"/>
  <c r="V65" i="1"/>
  <c r="V75" i="1" s="1"/>
  <c r="AA65" i="1"/>
  <c r="AA75" i="1" s="1"/>
  <c r="H65" i="1"/>
  <c r="H75" i="1" s="1"/>
  <c r="AH65" i="1"/>
  <c r="AH75" i="1" s="1"/>
  <c r="Q41" i="5"/>
  <c r="AC41" i="5"/>
  <c r="R28" i="5"/>
  <c r="E77" i="1"/>
  <c r="E65" i="1"/>
  <c r="E75" i="1" s="1"/>
  <c r="J62" i="1"/>
  <c r="Q32" i="5"/>
  <c r="AC32" i="5"/>
  <c r="Q24" i="5"/>
  <c r="AC24" i="5"/>
  <c r="Q27" i="5"/>
  <c r="AC27" i="5"/>
  <c r="M15" i="5"/>
  <c r="G70" i="1"/>
  <c r="R31" i="5"/>
  <c r="R19" i="5"/>
  <c r="AC26" i="5"/>
  <c r="Q26" i="5"/>
  <c r="Q19" i="5"/>
  <c r="AC19" i="5"/>
  <c r="H54" i="5"/>
  <c r="H55" i="5" s="1"/>
  <c r="Q25" i="5"/>
  <c r="AC25" i="5"/>
  <c r="Q28" i="5"/>
  <c r="AC28" i="5"/>
  <c r="Q38" i="5"/>
  <c r="AC38" i="5"/>
  <c r="AC50" i="5"/>
  <c r="Q50" i="5"/>
  <c r="Q43" i="5"/>
  <c r="AC43" i="5"/>
  <c r="AC29" i="5"/>
  <c r="Q29" i="5"/>
  <c r="AC22" i="5"/>
  <c r="Q22" i="5"/>
  <c r="Q14" i="5"/>
  <c r="R41" i="5"/>
  <c r="AJ65" i="1"/>
  <c r="AJ75" i="1" s="1"/>
  <c r="N65" i="1"/>
  <c r="N75" i="1" s="1"/>
  <c r="X65" i="1"/>
  <c r="X75" i="1" s="1"/>
  <c r="AA13" i="5"/>
  <c r="P13" i="5"/>
  <c r="O13" i="5"/>
  <c r="H57" i="5" l="1"/>
  <c r="G57" i="5" s="1"/>
  <c r="O59" i="5"/>
  <c r="H56" i="5"/>
  <c r="Q54" i="5"/>
  <c r="L55" i="5"/>
  <c r="D75" i="1"/>
  <c r="AC39" i="5"/>
  <c r="O15" i="5"/>
  <c r="AA15" i="5"/>
  <c r="P15" i="5"/>
  <c r="J51" i="1"/>
  <c r="N18" i="5" s="1"/>
  <c r="J70" i="1"/>
  <c r="J66" i="1"/>
  <c r="F77" i="1"/>
  <c r="F65" i="1"/>
  <c r="F75" i="1" s="1"/>
  <c r="R13" i="5"/>
  <c r="G65" i="1"/>
  <c r="G75" i="1" s="1"/>
  <c r="G77" i="1"/>
  <c r="AC13" i="5"/>
  <c r="P14" i="5"/>
  <c r="AA14" i="5"/>
  <c r="O14" i="5"/>
  <c r="R14" i="5" l="1"/>
  <c r="AC14" i="5"/>
  <c r="J65" i="1"/>
  <c r="J75" i="1" s="1"/>
  <c r="J77" i="1"/>
  <c r="R15" i="5"/>
  <c r="AC15" i="5"/>
  <c r="L56" i="5"/>
  <c r="L57" i="5"/>
  <c r="Q55" i="5"/>
  <c r="O60" i="5"/>
  <c r="AB18" i="5"/>
  <c r="P18" i="5"/>
  <c r="O18" i="5"/>
  <c r="R18" i="5" l="1"/>
  <c r="AC18" i="5"/>
  <c r="E14" i="3" l="1"/>
  <c r="E16" i="3" l="1"/>
  <c r="E23" i="4" l="1"/>
  <c r="F23" i="4" s="1"/>
  <c r="BA18" i="1"/>
  <c r="E25" i="3" l="1"/>
  <c r="E20" i="3"/>
  <c r="E19" i="3"/>
  <c r="AD19" i="1" s="1"/>
  <c r="E18" i="3"/>
  <c r="AD28" i="1" s="1"/>
  <c r="AQ28" i="1" s="1"/>
  <c r="AQ19" i="1" l="1"/>
  <c r="E15" i="3"/>
  <c r="AR28" i="1"/>
  <c r="AT28" i="1"/>
  <c r="AU28" i="1" s="1"/>
  <c r="AW28" i="1" s="1"/>
  <c r="AD26" i="1" l="1"/>
  <c r="AT19" i="1"/>
  <c r="AR19" i="1"/>
  <c r="AU19" i="1" l="1"/>
  <c r="AQ26" i="1"/>
  <c r="AR26" i="1" l="1"/>
  <c r="AT26" i="1"/>
  <c r="AW19" i="1"/>
  <c r="AU26" i="1" l="1"/>
  <c r="AW26" i="1" l="1"/>
  <c r="BL25" i="3" l="1"/>
  <c r="BK28" i="3"/>
  <c r="BL56" i="3"/>
  <c r="AP57" i="1" s="1"/>
  <c r="AQ57" i="1" s="1"/>
  <c r="AT57" i="1" l="1"/>
  <c r="AU57" i="1" s="1"/>
  <c r="AW57" i="1" s="1"/>
  <c r="AR57" i="1"/>
  <c r="BM56" i="3"/>
  <c r="BL28" i="3"/>
  <c r="AP39" i="1"/>
  <c r="AQ39" i="1" s="1"/>
  <c r="BK71" i="3" l="1"/>
  <c r="BL67" i="3"/>
  <c r="BL71" i="3" s="1"/>
  <c r="AQ59" i="1" s="1"/>
  <c r="AR39" i="1"/>
  <c r="AT39" i="1"/>
  <c r="AU39" i="1" s="1"/>
  <c r="AW39" i="1" s="1"/>
  <c r="BL55" i="3" l="1"/>
  <c r="BL63" i="3" s="1"/>
  <c r="BL73" i="3" s="1"/>
  <c r="BL96" i="3" s="1"/>
  <c r="BK63" i="3"/>
  <c r="BK73" i="3" s="1"/>
  <c r="BM67" i="3"/>
  <c r="BM71" i="3" s="1"/>
  <c r="AT59" i="1"/>
  <c r="AU59" i="1" s="1"/>
  <c r="AW59" i="1" s="1"/>
  <c r="AR59" i="1"/>
  <c r="BM105" i="3" l="1"/>
  <c r="AP51" i="1"/>
  <c r="BM55" i="3"/>
  <c r="BM63" i="3" s="1"/>
  <c r="BM73" i="3" s="1"/>
  <c r="N48" i="5" l="1"/>
  <c r="AP56" i="1"/>
  <c r="AP62" i="1" l="1"/>
  <c r="AQ56" i="1"/>
  <c r="AB48" i="5"/>
  <c r="N54" i="5"/>
  <c r="AB54" i="5" l="1"/>
  <c r="N55" i="5"/>
  <c r="AB55" i="5" s="1"/>
  <c r="AT56" i="1"/>
  <c r="AR56" i="1"/>
  <c r="AR62" i="1" s="1"/>
  <c r="AP66" i="1"/>
  <c r="AQ62" i="1"/>
  <c r="AQ51" i="1" l="1"/>
  <c r="AQ66" i="1" s="1"/>
  <c r="AT62" i="1"/>
  <c r="AU56" i="1"/>
  <c r="BL19" i="3"/>
  <c r="BM19" i="3" l="1"/>
  <c r="AP38" i="1"/>
  <c r="AQ38" i="1" s="1"/>
  <c r="AT66" i="1"/>
  <c r="AR51" i="1"/>
  <c r="AT51" i="1"/>
  <c r="AU62" i="1"/>
  <c r="AW56" i="1"/>
  <c r="AW62" i="1" s="1"/>
  <c r="AT38" i="1" l="1"/>
  <c r="AU38" i="1" s="1"/>
  <c r="AR38" i="1"/>
  <c r="AU51" i="1"/>
  <c r="AR66" i="1"/>
  <c r="D13" i="4" l="1"/>
  <c r="AW51" i="1"/>
  <c r="X13" i="2" s="1"/>
  <c r="X15" i="2" s="1"/>
  <c r="Y18" i="2" s="1"/>
  <c r="Y20" i="2" s="1"/>
  <c r="Y22" i="2" s="1"/>
  <c r="AU66" i="1"/>
  <c r="BL18" i="3"/>
  <c r="Y23" i="2" l="1"/>
  <c r="Y59" i="2" s="1"/>
  <c r="I45" i="1"/>
  <c r="D16" i="4"/>
  <c r="C32" i="4"/>
  <c r="BM18" i="3"/>
  <c r="AP32" i="1"/>
  <c r="I47" i="1" l="1"/>
  <c r="I49" i="1" s="1"/>
  <c r="C35" i="4"/>
  <c r="M17" i="5" l="1"/>
  <c r="I70" i="1"/>
  <c r="BL17" i="3"/>
  <c r="BK22" i="3"/>
  <c r="BL32" i="3"/>
  <c r="BK33" i="3"/>
  <c r="BM32" i="3" l="1"/>
  <c r="BM33" i="3" s="1"/>
  <c r="AP44" i="1"/>
  <c r="BL33" i="3"/>
  <c r="I65" i="1"/>
  <c r="I77" i="1"/>
  <c r="BM17" i="3"/>
  <c r="BM22" i="3" s="1"/>
  <c r="BL22" i="3"/>
  <c r="AP27" i="1"/>
  <c r="AP30" i="1" s="1"/>
  <c r="O17" i="5"/>
  <c r="AA17" i="5"/>
  <c r="P17" i="5"/>
  <c r="BM28" i="3" l="1"/>
  <c r="BL49" i="3"/>
  <c r="I75" i="1"/>
  <c r="R17" i="5"/>
  <c r="AC17" i="5"/>
  <c r="BM49" i="3"/>
  <c r="AP45" i="1" s="1"/>
  <c r="AP47" i="1"/>
  <c r="AP49" i="1" s="1"/>
  <c r="E24" i="3"/>
  <c r="E22" i="3"/>
  <c r="AD32" i="1" s="1"/>
  <c r="AQ32" i="1" s="1"/>
  <c r="E23" i="3"/>
  <c r="AD33" i="1" s="1"/>
  <c r="AQ33" i="1" s="1"/>
  <c r="BM50" i="3" l="1"/>
  <c r="BM101" i="3" s="1"/>
  <c r="AR33" i="1"/>
  <c r="AT33" i="1"/>
  <c r="AU33" i="1" s="1"/>
  <c r="AW33" i="1" s="1"/>
  <c r="AT32" i="1"/>
  <c r="AU32" i="1" s="1"/>
  <c r="AW32" i="1" s="1"/>
  <c r="AR32" i="1"/>
  <c r="M48" i="5"/>
  <c r="AP70" i="1"/>
  <c r="E17" i="3"/>
  <c r="D26" i="3"/>
  <c r="D28" i="3" s="1"/>
  <c r="E30" i="3"/>
  <c r="AD44" i="1" s="1"/>
  <c r="AQ44" i="1" s="1"/>
  <c r="AD20" i="1"/>
  <c r="AD27" i="1" l="1"/>
  <c r="E26" i="3"/>
  <c r="E28" i="3" s="1"/>
  <c r="E31" i="3" s="1"/>
  <c r="AT44" i="1"/>
  <c r="AU44" i="1" s="1"/>
  <c r="AR44" i="1"/>
  <c r="AP65" i="1"/>
  <c r="AP75" i="1" s="1"/>
  <c r="AP77" i="1"/>
  <c r="AQ20" i="1"/>
  <c r="AD21" i="1"/>
  <c r="O48" i="5"/>
  <c r="AA48" i="5"/>
  <c r="P48" i="5"/>
  <c r="AT20" i="1" l="1"/>
  <c r="AR20" i="1"/>
  <c r="AQ21" i="1"/>
  <c r="E32" i="3"/>
  <c r="AD45" i="1" s="1"/>
  <c r="AQ45" i="1" s="1"/>
  <c r="R48" i="5"/>
  <c r="AC48" i="5"/>
  <c r="AQ27" i="1"/>
  <c r="AD30" i="1"/>
  <c r="AD47" i="1" s="1"/>
  <c r="AD49" i="1" s="1"/>
  <c r="M36" i="5" l="1"/>
  <c r="AD70" i="1"/>
  <c r="AR45" i="1"/>
  <c r="AT45" i="1"/>
  <c r="AU45" i="1" s="1"/>
  <c r="AR27" i="1"/>
  <c r="AT27" i="1"/>
  <c r="AQ30" i="1"/>
  <c r="E33" i="3"/>
  <c r="E101" i="3" s="1"/>
  <c r="AR21" i="1"/>
  <c r="AU20" i="1"/>
  <c r="AT21" i="1"/>
  <c r="AU27" i="1" l="1"/>
  <c r="AT30" i="1"/>
  <c r="AT47" i="1" s="1"/>
  <c r="AT49" i="1"/>
  <c r="AT70" i="1" s="1"/>
  <c r="AW20" i="1"/>
  <c r="AU21" i="1"/>
  <c r="AR30" i="1"/>
  <c r="AR47" i="1" s="1"/>
  <c r="AR49" i="1" s="1"/>
  <c r="AQ47" i="1"/>
  <c r="AQ49" i="1" s="1"/>
  <c r="AQ70" i="1" s="1"/>
  <c r="AD65" i="1"/>
  <c r="AD77" i="1"/>
  <c r="AU70" i="1"/>
  <c r="O36" i="5"/>
  <c r="AA36" i="5"/>
  <c r="P36" i="5"/>
  <c r="P54" i="5" s="1"/>
  <c r="M54" i="5"/>
  <c r="D18" i="4" l="1"/>
  <c r="AR53" i="1"/>
  <c r="AR70" i="1"/>
  <c r="AQ65" i="1"/>
  <c r="AQ75" i="1" s="1"/>
  <c r="AQ77" i="1"/>
  <c r="AU77" i="1"/>
  <c r="AW27" i="1"/>
  <c r="AW30" i="1" s="1"/>
  <c r="AU30" i="1"/>
  <c r="AU47" i="1" s="1"/>
  <c r="AU49" i="1" s="1"/>
  <c r="AU53" i="1" s="1"/>
  <c r="AA54" i="5"/>
  <c r="M55" i="5"/>
  <c r="AT65" i="1"/>
  <c r="AT75" i="1" s="1"/>
  <c r="AT77" i="1"/>
  <c r="R36" i="5"/>
  <c r="R54" i="5" s="1"/>
  <c r="R55" i="5" s="1"/>
  <c r="AC36" i="5"/>
  <c r="O54" i="5"/>
  <c r="AD75" i="1"/>
  <c r="AU65" i="1"/>
  <c r="AU75" i="1" l="1"/>
  <c r="AR65" i="1"/>
  <c r="AR75" i="1" s="1"/>
  <c r="AR77" i="1"/>
  <c r="AA55" i="5"/>
  <c r="P55" i="5"/>
  <c r="M57" i="5"/>
  <c r="O55" i="5"/>
  <c r="AC54" i="5"/>
  <c r="C37" i="4"/>
  <c r="D19" i="4"/>
  <c r="O57" i="5" l="1"/>
  <c r="N57" i="5" s="1"/>
  <c r="O56" i="5"/>
  <c r="O61" i="5"/>
  <c r="O62" i="5" s="1"/>
  <c r="AC55" i="5"/>
  <c r="C38" i="4"/>
  <c r="D22" i="4"/>
  <c r="C41" i="4" l="1"/>
  <c r="D25" i="4"/>
  <c r="AV45" i="1"/>
  <c r="AV35" i="1"/>
  <c r="AV38" i="1"/>
  <c r="AV44" i="1"/>
  <c r="BA35" i="1" l="1"/>
  <c r="AV47" i="1"/>
  <c r="AW35" i="1"/>
  <c r="BA44" i="1"/>
  <c r="AW44" i="1"/>
  <c r="BA45" i="1"/>
  <c r="AW45" i="1"/>
  <c r="C44" i="4"/>
  <c r="AV17" i="1"/>
  <c r="BA38" i="1"/>
  <c r="AW38" i="1"/>
  <c r="AW47" i="1" l="1"/>
  <c r="AY17" i="1"/>
  <c r="AV21" i="1"/>
  <c r="AW17" i="1"/>
  <c r="BA47" i="1"/>
  <c r="AY21" i="1" l="1"/>
  <c r="AV14" i="1"/>
  <c r="AW14" i="1"/>
  <c r="AV49" i="1"/>
  <c r="AU67" i="1"/>
  <c r="AW21" i="1"/>
  <c r="AW49" i="1" s="1"/>
  <c r="AW53" i="1" l="1"/>
  <c r="AW70" i="1"/>
  <c r="AV70" i="1"/>
  <c r="AU71" i="1"/>
  <c r="AW77" i="1" l="1"/>
  <c r="AW65" i="1"/>
  <c r="AW75" i="1" s="1"/>
  <c r="AV77" i="1"/>
  <c r="AV65" i="1"/>
  <c r="AV75" i="1" s="1"/>
  <c r="E25" i="4" l="1"/>
  <c r="F25" i="4" s="1"/>
  <c r="F22" i="4" s="1"/>
  <c r="AZ21" i="1"/>
  <c r="AZ49" i="1" s="1"/>
  <c r="BA17" i="1"/>
  <c r="BB17" i="1" l="1"/>
  <c r="BA21" i="1"/>
  <c r="BA14" i="1" l="1"/>
  <c r="BB21" i="1"/>
  <c r="BA49" i="1"/>
</calcChain>
</file>

<file path=xl/sharedStrings.xml><?xml version="1.0" encoding="utf-8"?>
<sst xmlns="http://schemas.openxmlformats.org/spreadsheetml/2006/main" count="2025" uniqueCount="874">
  <si>
    <t>Change</t>
  </si>
  <si>
    <t>PSE Supplemental NOI Requirement</t>
  </si>
  <si>
    <t>PSE Supplemental Revenue Requirement</t>
  </si>
  <si>
    <t>CHECK</t>
  </si>
  <si>
    <t>NOI Requirement</t>
  </si>
  <si>
    <t>Revenue Requirement</t>
  </si>
  <si>
    <t>Conversion Factor</t>
  </si>
  <si>
    <t>Rate of Return</t>
  </si>
  <si>
    <t>TOTAL RATE BASE</t>
  </si>
  <si>
    <t xml:space="preserve">  OTHER</t>
  </si>
  <si>
    <t xml:space="preserve">  ALLOWANCE FOR WORKING CAPITAL</t>
  </si>
  <si>
    <t xml:space="preserve">  DEFERRED TAXES</t>
  </si>
  <si>
    <t xml:space="preserve">  DEFERRED DEBITS AND CREDITS</t>
  </si>
  <si>
    <t>ACCUM DEPR AND AMORT</t>
  </si>
  <si>
    <t>GROSS UTILITY PLANT IN SERVICE</t>
  </si>
  <si>
    <t xml:space="preserve"> </t>
  </si>
  <si>
    <t>RATE BASE:</t>
  </si>
  <si>
    <t>RATE OF RETURN</t>
  </si>
  <si>
    <t xml:space="preserve">RATE BASE </t>
  </si>
  <si>
    <t>NET OPERATING INCOME</t>
  </si>
  <si>
    <t>TOTAL OPERATING REV. DEDUCT.</t>
  </si>
  <si>
    <t>DEFERRED INCOME TAXES</t>
  </si>
  <si>
    <t>INCOME TAXES</t>
  </si>
  <si>
    <t>TAXES OTHER THAN INCOME TAXES</t>
  </si>
  <si>
    <t>ASC 815</t>
  </si>
  <si>
    <t>OTHER OPERATING EXPENSES</t>
  </si>
  <si>
    <t>AMORTIZ OF PROPERTY GAIN/LOSS</t>
  </si>
  <si>
    <t>AMORTIZATION</t>
  </si>
  <si>
    <t>DEPRECIATION</t>
  </si>
  <si>
    <t>ADMIN &amp; GENERAL EXPENSE</t>
  </si>
  <si>
    <t>CONSERVATION AMORTIZATION</t>
  </si>
  <si>
    <t>CUSTOMER SERVICE EXPENSES</t>
  </si>
  <si>
    <t>CUSTOMER ACCTS EXPENSES</t>
  </si>
  <si>
    <t>DISTRIBUTION EXPENSE</t>
  </si>
  <si>
    <t>TRANSMISSION EXPENSE</t>
  </si>
  <si>
    <t>OTHER POWER SUPPLY EXPENSES</t>
  </si>
  <si>
    <t>TOTAL PRODUCTION EXPENSES</t>
  </si>
  <si>
    <t xml:space="preserve"> RESIDENTIAL EXCHANGE</t>
  </si>
  <si>
    <t xml:space="preserve"> WHEELING</t>
  </si>
  <si>
    <t xml:space="preserve"> PURCHASED AND INTERCHANGED</t>
  </si>
  <si>
    <t xml:space="preserve"> FUEL</t>
  </si>
  <si>
    <t>POWER COSTS:</t>
  </si>
  <si>
    <t>OPERATING REVENUE DEDUCTIONS:</t>
  </si>
  <si>
    <t>TOTAL OPERATING REVENUES</t>
  </si>
  <si>
    <t>OTHER OPERATING REVENUES</t>
  </si>
  <si>
    <t>SALES TO OTHER UTILITIES</t>
  </si>
  <si>
    <t>SALES FROM RESALE-FIRM/SPECIAL CONTRACT</t>
  </si>
  <si>
    <t>SALES TO CUSTOMERS</t>
  </si>
  <si>
    <t>Rate Decr</t>
  </si>
  <si>
    <t>Rate Incr</t>
  </si>
  <si>
    <t>OPERATING REVENUES</t>
  </si>
  <si>
    <t>-</t>
  </si>
  <si>
    <t>REVENUE</t>
  </si>
  <si>
    <t>OPERATIONS</t>
  </si>
  <si>
    <t>ADJUSTMENTS</t>
  </si>
  <si>
    <t>OF OPERATIONS</t>
  </si>
  <si>
    <t>13.06A</t>
  </si>
  <si>
    <t xml:space="preserve">OPERATIONS </t>
  </si>
  <si>
    <t>NO.</t>
  </si>
  <si>
    <t>REVENUE REQUIREMENT</t>
  </si>
  <si>
    <t>CURRENT OTHER SCHEDULE</t>
  </si>
  <si>
    <t>RATE</t>
  </si>
  <si>
    <t>REQUIREMENT</t>
  </si>
  <si>
    <t>RESULTS OF</t>
  </si>
  <si>
    <t>TOTAL</t>
  </si>
  <si>
    <t xml:space="preserve">ACTUAL RESUTLS </t>
  </si>
  <si>
    <t>ADJUSTMENT</t>
  </si>
  <si>
    <t>TREASURY GRANTS</t>
  </si>
  <si>
    <t>RIVER</t>
  </si>
  <si>
    <t>CAPACITY UPGRADE</t>
  </si>
  <si>
    <t>MARKET</t>
  </si>
  <si>
    <t>BATTERY STRG</t>
  </si>
  <si>
    <t>&amp; LIABILITIES</t>
  </si>
  <si>
    <t>DAMAGE</t>
  </si>
  <si>
    <t>(PREV. SFAS 133)</t>
  </si>
  <si>
    <t xml:space="preserve"> SOLAR</t>
  </si>
  <si>
    <t>ENERGY TAX</t>
  </si>
  <si>
    <t>COSTS</t>
  </si>
  <si>
    <t>WUTC FILING FEE</t>
  </si>
  <si>
    <t>SERVICE CENTER</t>
  </si>
  <si>
    <t>PROCESSING COSTS</t>
  </si>
  <si>
    <t>REMEDIATION</t>
  </si>
  <si>
    <t>INSURANCE</t>
  </si>
  <si>
    <t>PLAN</t>
  </si>
  <si>
    <t>INCREASE</t>
  </si>
  <si>
    <t>LIABILITY INS</t>
  </si>
  <si>
    <t>PROPERTY SALES</t>
  </si>
  <si>
    <t>EXPENSES</t>
  </si>
  <si>
    <t>CUST DEPOSITS</t>
  </si>
  <si>
    <t>PAY</t>
  </si>
  <si>
    <t>DEBTS</t>
  </si>
  <si>
    <t>INJ &amp; DMGS</t>
  </si>
  <si>
    <t>COLSTRIP</t>
  </si>
  <si>
    <t>STUDY</t>
  </si>
  <si>
    <t xml:space="preserve"> PROFORMA INTEREST</t>
  </si>
  <si>
    <t>INCOME TAX</t>
  </si>
  <si>
    <t>REVS. &amp; EXPS.</t>
  </si>
  <si>
    <t>NORMALIZATION</t>
  </si>
  <si>
    <t>&amp; EXPENSES</t>
  </si>
  <si>
    <t>LINE</t>
  </si>
  <si>
    <t>FINAL OVERALL</t>
  </si>
  <si>
    <t>(LESS)</t>
  </si>
  <si>
    <t>AFTER</t>
  </si>
  <si>
    <t>ADJUSTED</t>
  </si>
  <si>
    <t>PRODUCTION</t>
  </si>
  <si>
    <t>RECLASS OF HYDRO</t>
  </si>
  <si>
    <t xml:space="preserve">WHITE </t>
  </si>
  <si>
    <t>MINT FARM</t>
  </si>
  <si>
    <t>GOLDENDALE</t>
  </si>
  <si>
    <t>ENERGY IMB</t>
  </si>
  <si>
    <t>GLACIER</t>
  </si>
  <si>
    <t>REG ASSETS</t>
  </si>
  <si>
    <t>STORM</t>
  </si>
  <si>
    <t>WILD HORSE</t>
  </si>
  <si>
    <t>MT ELECTRIC</t>
  </si>
  <si>
    <t>POWER</t>
  </si>
  <si>
    <t>LEGAL COST</t>
  </si>
  <si>
    <t>ISWC and RB</t>
  </si>
  <si>
    <t>EXCISE TAX AND</t>
  </si>
  <si>
    <t>SOUTH KING</t>
  </si>
  <si>
    <t>PAYMENT</t>
  </si>
  <si>
    <t>ENVIRONMENTAL</t>
  </si>
  <si>
    <t>EMPLOYEE</t>
  </si>
  <si>
    <t>INVESTMENT</t>
  </si>
  <si>
    <t>WAGE</t>
  </si>
  <si>
    <t>PENSION</t>
  </si>
  <si>
    <t>PROPERTY &amp;</t>
  </si>
  <si>
    <t>DEFERRED G/L ON</t>
  </si>
  <si>
    <t>RATE CASE</t>
  </si>
  <si>
    <t xml:space="preserve">INTEREST ON </t>
  </si>
  <si>
    <t>D&amp;O</t>
  </si>
  <si>
    <t>INCENTIVE</t>
  </si>
  <si>
    <t>BAD</t>
  </si>
  <si>
    <t>NORMALIZE</t>
  </si>
  <si>
    <t>REG. ASSET</t>
  </si>
  <si>
    <t>TAX BENEFIT OF</t>
  </si>
  <si>
    <t>FEDERAL</t>
  </si>
  <si>
    <t>PASS-THROUGH</t>
  </si>
  <si>
    <t>TEMPERATURE</t>
  </si>
  <si>
    <t>REVENUES</t>
  </si>
  <si>
    <t>ACTUAL</t>
  </si>
  <si>
    <t>NEW</t>
  </si>
  <si>
    <t>CONTESTED</t>
  </si>
  <si>
    <t>STAFF POSITION</t>
  </si>
  <si>
    <t>REVISED</t>
  </si>
  <si>
    <t>GENERAL RATE INCREASE</t>
  </si>
  <si>
    <t>STATEMENT OF OPERATING INCOME AND ADJUSTMENTS</t>
  </si>
  <si>
    <t>OVERALL REVENUE SUFFICIENCY CALCULATION</t>
  </si>
  <si>
    <t>PUGET SOUND ENERGY-ELECTRIC</t>
  </si>
  <si>
    <t>Page 1 of 45</t>
  </si>
  <si>
    <t>Page 6 of 45</t>
  </si>
  <si>
    <t>Page 5 of 45</t>
  </si>
  <si>
    <t>Page 4 of 45</t>
  </si>
  <si>
    <t>Page 3 of 45</t>
  </si>
  <si>
    <t>Page 2 of 45</t>
  </si>
  <si>
    <t>Dockets UE-170033/UG-170034</t>
  </si>
  <si>
    <t>PSE's SUPPLEMENTAL INCREASE (DECREASE) RB</t>
  </si>
  <si>
    <t>PSE's SUPPLEMENTAL INCREASE (DECREASE) NOI</t>
  </si>
  <si>
    <t>INCREASE (DECREASE) NOI</t>
  </si>
  <si>
    <t>INCREASE (DECREASE) FIT @</t>
  </si>
  <si>
    <t>INCREASE (DECREASE) INCOME</t>
  </si>
  <si>
    <t>INCREASE (DECREASE) FIT</t>
  </si>
  <si>
    <t>INCREASE (DECREASE) OPERATING INCOME BEFORE FIT</t>
  </si>
  <si>
    <t>INCREASE (DECREASE) TAXES OTHER</t>
  </si>
  <si>
    <t>STATE UTILITY TAX @</t>
  </si>
  <si>
    <t>TOTAL INCREASE (DECREASE) EXPENSE</t>
  </si>
  <si>
    <t>REMOVE JPUD AMORT EXPENSE SCH 133</t>
  </si>
  <si>
    <t>INCREASE (DECREASE) EXPENSES</t>
  </si>
  <si>
    <t>GREEN POWER - SCH 135/136 TAXES PORTION OF ADMIN</t>
  </si>
  <si>
    <t>ANNUAL FILING FEE @</t>
  </si>
  <si>
    <t>GREEN POWER - SCH 135/136 BENEFITS PORTION OF ADMIN</t>
  </si>
  <si>
    <t>UNCOLLECTIBLES @</t>
  </si>
  <si>
    <t>TOTAL INCREASE (DECREASE) RSI</t>
  </si>
  <si>
    <t>TOTAL  ADJUSTMENT TO RATEBASE</t>
  </si>
  <si>
    <t>GREEN POWER - SCH 135/136 CHARGED TO 908/909</t>
  </si>
  <si>
    <t>REMOVE AMORT ON INTEREST ON REC PROCEEDS SCH 137</t>
  </si>
  <si>
    <t>INCREASE (DECREASE) SALES TO CUSTOMERS</t>
  </si>
  <si>
    <t>DFIT</t>
  </si>
  <si>
    <t>REMOVE RESIDENTIAL EXCHANGE - SCH 194</t>
  </si>
  <si>
    <t>ADJUSTMENT TO ACCUM. DEPREC. AT 50% DEPREC. EXP. LINE 21</t>
  </si>
  <si>
    <t>REMOVE LOW INCOME AMORTIZATION - SCHEDULE 129</t>
  </si>
  <si>
    <t>FIRM RESALE</t>
  </si>
  <si>
    <t>ADJUSTMENT TO RATE BASE</t>
  </si>
  <si>
    <t>REMOVE MUNICIPAL TAXES - SCHEDULE 81</t>
  </si>
  <si>
    <t>SCHEDULE 40 - PRIMARY VOLTAGE</t>
  </si>
  <si>
    <t>TOTAL INCREASE (DECREASE) EXPENSES</t>
  </si>
  <si>
    <t>Note:  Amounts in bold and italics are different from January 13, 2017 original filing.</t>
  </si>
  <si>
    <t>REMOVE PROPERTY TAX AMORTIZATION EXP - SCHEDULE 140</t>
  </si>
  <si>
    <t>SCHEDULE 40 - LARGE DEC VOLTAGE</t>
  </si>
  <si>
    <t xml:space="preserve"> OF INTEREST AND GRANTS</t>
  </si>
  <si>
    <t>REMOVE CONSERVATION AMORTIZATON - SCHEDULE 120</t>
  </si>
  <si>
    <t>SCHEDULE 40 - MED SEC VOLTAGE</t>
  </si>
  <si>
    <t>REMOVE SCHEDULE 95A TREASURY GRANTS AMORTIZATION</t>
  </si>
  <si>
    <t>REMOVE EXPENSES ASSOCIATED WITH RIDERS</t>
  </si>
  <si>
    <t>SCHEDULE 43</t>
  </si>
  <si>
    <t>REMOVE EXPENSE RECOGNIZED FOR FUTURE PTC LIABILITY</t>
  </si>
  <si>
    <t>SCHEDULE 10 and 31</t>
  </si>
  <si>
    <t>OPERATING EXPENSES:</t>
  </si>
  <si>
    <t>INCREASE (DECREASE) EXPENSE</t>
  </si>
  <si>
    <t>SCHEDULE 29</t>
  </si>
  <si>
    <t>TOTAL INCREASE (DECREASE) REVENUES</t>
  </si>
  <si>
    <t xml:space="preserve">INCREASE(DECREASE) NOI </t>
  </si>
  <si>
    <t>STATE UTILITY TAX</t>
  </si>
  <si>
    <t>SCHEDULE 12 and 26</t>
  </si>
  <si>
    <t>ADJUSTMENTS SALES TO CUSTOMERS</t>
  </si>
  <si>
    <t>FOR TEST YEAR 9/30/16</t>
  </si>
  <si>
    <t>INCREASE(DECREASE) NOI</t>
  </si>
  <si>
    <t>INCREASE(DECREASE) DEFERRED FIT</t>
  </si>
  <si>
    <t>ANNUAL FILING FEE</t>
  </si>
  <si>
    <t>SCHEDULE 11 and 25</t>
  </si>
  <si>
    <t>REMOVE AMORTIZATION DECOUPLING DEFERRALS</t>
  </si>
  <si>
    <t>INCREASE (DECREASE ) EXPENSE</t>
  </si>
  <si>
    <t>PRO FORMA COSTS APPLICABLE TO OPERATIONS</t>
  </si>
  <si>
    <t>INCREASE(DECREASE) FIT @</t>
  </si>
  <si>
    <t>DEPRECIATION EXPENSE 403 ASSOCIATED WITH FLEET</t>
  </si>
  <si>
    <t>INCREASE(DECREASE) FIT</t>
  </si>
  <si>
    <t>BAD DEBTS</t>
  </si>
  <si>
    <t>SCHEDULE 8 and 24</t>
  </si>
  <si>
    <t>REMOVE CURRENT PERIOD DECOUPLING DEFERRALS</t>
  </si>
  <si>
    <t>TOTAL PROFORMA COSTS (LN 4 + LN 9 + LN 14 + LN 19)</t>
  </si>
  <si>
    <t>INCREASE (DECREASE) FIT @ 35%</t>
  </si>
  <si>
    <t>DECREASE REVENUE SENSITIVE ITEMS FOR DECREASE IN REVENUES:</t>
  </si>
  <si>
    <t>SCHEDULE 7</t>
  </si>
  <si>
    <t>REVENUE ADJUSTMENT:</t>
  </si>
  <si>
    <t>REMOVE OVEREARNINGS ACCRUALS</t>
  </si>
  <si>
    <t>DEPR-LEASEHOLD IMPROV.</t>
  </si>
  <si>
    <t>SUBTOTAL ACCRETION EXPENSE 411.10</t>
  </si>
  <si>
    <t>TOTAL CHARED TO EXPENSE</t>
  </si>
  <si>
    <t>RECLASSIFY TRANSPORTATION REVENUE TO SALES TO CUSTOMERS</t>
  </si>
  <si>
    <t>DEPR EXP-PORTION INC DEPR STUDY ADJ</t>
  </si>
  <si>
    <t>INCREASE (DECREASE) OPERATING EXPENSE</t>
  </si>
  <si>
    <t>INCREASE (DECREASE) EXPENSE  (LN 13 - LN 11)</t>
  </si>
  <si>
    <t>411.10 ACCRETION EXP. - ASC 410 (NOT RECOVERED IN RATES)</t>
  </si>
  <si>
    <t>DEFERRED FIT- INV TAX CREDIT, NET OF AMORT</t>
  </si>
  <si>
    <t>TOTAL (INCREASE) DECREASE IN REVENUES</t>
  </si>
  <si>
    <t>ADJUSTMENTS TO OTHER OPERATING REVENUE:</t>
  </si>
  <si>
    <t>DEPRECIATION EXPENSE</t>
  </si>
  <si>
    <t>TOTAL COMPANY CONTRIBUTION FOR UA</t>
  </si>
  <si>
    <t>411.10 ACCRETION EXP. - ASC 410 (RECOVERED IN RATES)</t>
  </si>
  <si>
    <t>DEFERRED FIT-CREDIT</t>
  </si>
  <si>
    <t>REMOVE JPUD GAIN ON SALE SCH 133</t>
  </si>
  <si>
    <t xml:space="preserve">RENT CHARGED TO O&amp;M </t>
  </si>
  <si>
    <t xml:space="preserve">RATE YEAR UA WAGE INCREASE                   </t>
  </si>
  <si>
    <t>TOTAL WAGES &amp; TAXES</t>
  </si>
  <si>
    <t>AMORTIZATION OF DEFERRED NET GAIN FOR TEST YEAR</t>
  </si>
  <si>
    <t>INCREASE(DECREASE) EXPENSE</t>
  </si>
  <si>
    <t>UNCOLLECTIBLES CHARGED TO EXPENSE IN TEST YEAR</t>
  </si>
  <si>
    <t>AMORTIZATION EXPENSE</t>
  </si>
  <si>
    <t>DEFERRED FIT - DEBT</t>
  </si>
  <si>
    <t>GREEN POWER - SCH 135/136 ELIMINATE OVER EXPENSED</t>
  </si>
  <si>
    <t>OPERATING EXPENSE</t>
  </si>
  <si>
    <t>INVESTMENT PLAN APPLICABLE TO UA</t>
  </si>
  <si>
    <t>PAYROLL TAXES</t>
  </si>
  <si>
    <t>LESS TEST YEAR EXPENSE</t>
  </si>
  <si>
    <t>PAYROLL TAXES ASSOC WITH MERIT PAY</t>
  </si>
  <si>
    <t>CURRENTLY PAYABLE</t>
  </si>
  <si>
    <t>GREEN POWER - SCH 135/136</t>
  </si>
  <si>
    <t>INCREASE (DECREASE) OPERATING EXPENSE (LINES 3 &amp; 9)</t>
  </si>
  <si>
    <t>UA</t>
  </si>
  <si>
    <t>ANNUAL AMORTIZATION (LN 9 ÷ 36) x 12</t>
  </si>
  <si>
    <r>
      <t xml:space="preserve">ANNUAL NORMALIZATION (LINE 9 </t>
    </r>
    <r>
      <rPr>
        <sz val="8.8000000000000007"/>
        <rFont val="Symbol"/>
        <family val="1"/>
        <charset val="2"/>
      </rPr>
      <t>¸</t>
    </r>
    <r>
      <rPr>
        <sz val="10"/>
        <rFont val="Times New Roman"/>
        <family val="1"/>
      </rPr>
      <t xml:space="preserve"> 4 YEARS)</t>
    </r>
  </si>
  <si>
    <t>PROFORMA BAD DEBTS</t>
  </si>
  <si>
    <t>TOTAL DEPRECIATION EXPENSE</t>
  </si>
  <si>
    <t>FIT PER BOOKS:</t>
  </si>
  <si>
    <t>TOTAL ADJUSTMENTS TO SALES TO CUSTOMERS</t>
  </si>
  <si>
    <t>NET SOUTH KING RATEBASE</t>
  </si>
  <si>
    <t>TOTAL WAGE INCREASE</t>
  </si>
  <si>
    <t>TOTAL INCENTIVE/MERIT PAY</t>
  </si>
  <si>
    <t>PROFORMA BAD DEBT RATE</t>
  </si>
  <si>
    <t xml:space="preserve">INCREASE (DECREASE) FIT @ </t>
  </si>
  <si>
    <t>OTHER</t>
  </si>
  <si>
    <t>DEF TAX LIAB-PORT INC IN DEPR STUDY</t>
  </si>
  <si>
    <t>INCREASE (DECREASE) IN EXPENSE</t>
  </si>
  <si>
    <t>TOTAL COMPANY CONTRIBUTION FOR IBEW</t>
  </si>
  <si>
    <t>ADMIN. &amp; GENERAL</t>
  </si>
  <si>
    <t>NET GAIN (LN 3 + LN 7)</t>
  </si>
  <si>
    <t>2014 AND 2013 PCORC EXPENSES TO BE NORMALIZED</t>
  </si>
  <si>
    <t>AMORTIZATION EXPENSE (over 18 years)</t>
  </si>
  <si>
    <t>SUBTOTAL DEPRECIATION EXPENSE 403.1</t>
  </si>
  <si>
    <t>TOTAL RESTATED FIT</t>
  </si>
  <si>
    <t>REMOVE EXPENSES ASSOCIATED WITH SCH 137 REC PROCEEDS</t>
  </si>
  <si>
    <t>RECLASSIFY TRANSPORTATION REVENUE FROM OTHER OP. REVENUES</t>
  </si>
  <si>
    <t xml:space="preserve">DEFERRED FIT </t>
  </si>
  <si>
    <t>AMORTIZATION OF DEFERRAL (over 3 years)</t>
  </si>
  <si>
    <t>INCREASE (DECREASE) FIT @ 35% (LINE 11 X 35%)</t>
  </si>
  <si>
    <t xml:space="preserve">RATE YEAR IBEW WAGE INCREASE                   </t>
  </si>
  <si>
    <t>SALES</t>
  </si>
  <si>
    <t>403.1 DEPR. EXP - FAS 143 (NOT RECOVERED IN RATES)</t>
  </si>
  <si>
    <t>DEFERRED FIT - INV TAX CREDIT, NET OF AMORT</t>
  </si>
  <si>
    <t>REMOVE REC PROCEEDS - SCH 137</t>
  </si>
  <si>
    <t>SALES FOR RESALE FIRM</t>
  </si>
  <si>
    <t>ACCUM DEP-LEASE. IMPROVE.</t>
  </si>
  <si>
    <t>EXPECTED RATE YEAR LEVEL OF FEES</t>
  </si>
  <si>
    <t>CHARGED TO EXPENSE DURING TEST YEAR</t>
  </si>
  <si>
    <t>INVESTMENT PLAN APPLICABLE TO IBEW</t>
  </si>
  <si>
    <t>CUSTOMER SERVICE</t>
  </si>
  <si>
    <t>NET LOSS PENDING APPROVAL (LN 5 + LN 6)</t>
  </si>
  <si>
    <t>TEST PERIOD REVENUES</t>
  </si>
  <si>
    <t>403.1 DEPR. EXP- FAS 143 (RECOVERED IN RATES)</t>
  </si>
  <si>
    <t>DEFERRED FIT-OTHER</t>
  </si>
  <si>
    <t>REMOVE SCHEDULE 142 - DECOUPLING AND K-FACTOR REVENUE</t>
  </si>
  <si>
    <t>ACC DEP-NEW BLG-PORTION INC IN DEP STUDY</t>
  </si>
  <si>
    <t>DOCKET UE-160203 &amp; UG-160204 CREDIT CARD FEES</t>
  </si>
  <si>
    <t>TOTAL RATE YEAR AMORTIZATION ENVIRONMENTAL (LINE 4 + LINE 9)</t>
  </si>
  <si>
    <t>APPLICABLE TO OPERATIONS @</t>
  </si>
  <si>
    <t>IBEW</t>
  </si>
  <si>
    <t>CUSTOMER ACCTS</t>
  </si>
  <si>
    <t>DEFERRED LOSS PENDING APPROVAL SINCE UE-111048</t>
  </si>
  <si>
    <t>TOTAL  RATEBASE</t>
  </si>
  <si>
    <t>PROFORMA INTEREST</t>
  </si>
  <si>
    <t>DEFERRED FIT-DEBIT</t>
  </si>
  <si>
    <t>REMOVE LOW INCOME RIDER - SCHEDULE 129</t>
  </si>
  <si>
    <t>REMOVE SCHEDULE 141 - EXPEDITED RATE FILING</t>
  </si>
  <si>
    <t xml:space="preserve">INCREASE(DECREASE) OPERATING EXPENSE </t>
  </si>
  <si>
    <t>ACCUM DEPRECIATION-ON BUILDING PURCHASE</t>
  </si>
  <si>
    <t>DISTRIBUTION</t>
  </si>
  <si>
    <t>DEFERRED GAIN PENDING APPROVAL SINCE UE-111048</t>
  </si>
  <si>
    <r>
      <t xml:space="preserve">ANNUAL NORMALIZATION (LINE 3 </t>
    </r>
    <r>
      <rPr>
        <sz val="8.8000000000000007"/>
        <rFont val="Symbol"/>
        <family val="1"/>
        <charset val="2"/>
      </rPr>
      <t>¸</t>
    </r>
    <r>
      <rPr>
        <sz val="10"/>
        <rFont val="Times New Roman"/>
        <family val="1"/>
      </rPr>
      <t xml:space="preserve"> 2 YEARS)</t>
    </r>
  </si>
  <si>
    <t>3-YR AVERAGE OF NET WRITE OFF RATE</t>
  </si>
  <si>
    <t>INCREASE/(DECREASE) IN OPERATING EXPENSE (LINE 3)</t>
  </si>
  <si>
    <t>SUBTOTAL DEPRECIATION EXPENSE 403</t>
  </si>
  <si>
    <t>WEIGHTED AVERAGE COST OF DEBT</t>
  </si>
  <si>
    <t>REMOVE MUNICIPAL TAXES - SCHEDULE 81 - SALES FOR RESALE</t>
  </si>
  <si>
    <t>REMOVE SCHEDULE 95 - POWER COST ONLY RATE CASE</t>
  </si>
  <si>
    <t>PLANT BALANCE-LEASE IMPROV</t>
  </si>
  <si>
    <r>
      <t xml:space="preserve">ANNUAL AMORTIZATION (LINE 3 </t>
    </r>
    <r>
      <rPr>
        <sz val="8.8000000000000007"/>
        <rFont val="Symbol"/>
        <family val="1"/>
        <charset val="2"/>
      </rPr>
      <t>¸</t>
    </r>
    <r>
      <rPr>
        <sz val="10"/>
        <rFont val="Times New Roman"/>
        <family val="1"/>
      </rPr>
      <t xml:space="preserve"> 5 YEARS)</t>
    </r>
  </si>
  <si>
    <t>PRO FORMA INSURANCE COSTS</t>
  </si>
  <si>
    <t>TOTAL COMPANY CONTRIBUTION FOR MANAGEMENT</t>
  </si>
  <si>
    <t>TRANSMISSION</t>
  </si>
  <si>
    <t xml:space="preserve">ACCUM DEPRECIATION </t>
  </si>
  <si>
    <t>404 DEPR. EXP. ON ASSETS NOT INCLUDED IN STUDY</t>
  </si>
  <si>
    <t>REMOVE SCHEDULE 95A - FEDERAL INCENTIVE TRACKER</t>
  </si>
  <si>
    <t>INCREASE(DECREASE) EXCISE AND WUTC FILING FEE</t>
  </si>
  <si>
    <t>PLANT BALANCE-BUILDING PURCHASE</t>
  </si>
  <si>
    <t>DEFERRED COSTS NET OF SITE SPECIFIC RECOVERIES AS OF SEPTEMBER 30, 2016</t>
  </si>
  <si>
    <t>UNION EMPLOYEES</t>
  </si>
  <si>
    <t xml:space="preserve">RATE YEAR NON-UNION WAGE INCREASE </t>
  </si>
  <si>
    <t>OTHER POWER SUPPLY</t>
  </si>
  <si>
    <t>TOTAL DEFERRED NET LOSS FOR UE-111048, at 12/31/2017 TO AMORTIZE (LN 1 + LN 2)</t>
  </si>
  <si>
    <t>2009 AND 2011 GRC EXPENSES TO BE NORMALIZED</t>
  </si>
  <si>
    <t>OTHER POWER SUPPLY (PROD O&amp;M)</t>
  </si>
  <si>
    <t>INCREASE/(DECREASE) IN EXPENSE</t>
  </si>
  <si>
    <t>PLANT BALANCE</t>
  </si>
  <si>
    <t>403 DEPR. EXP. ON ASSETS NOT INCLUDED IN STUDY</t>
  </si>
  <si>
    <t>NET RATE BASE</t>
  </si>
  <si>
    <t>FEDERAL INCOME TAX</t>
  </si>
  <si>
    <t>REMOVE PROPERTY TAX TRACKER - SCHEDULE 140</t>
  </si>
  <si>
    <t>REMOVE SCHEDULE 132 - MERGER RATE CREDIT</t>
  </si>
  <si>
    <t>TOTAL RATE YEAR LEGAL COSTS</t>
  </si>
  <si>
    <t>UTILITY PLANT RATEBASE</t>
  </si>
  <si>
    <t>CUST REC &amp; COLLECTION EXPENSE</t>
  </si>
  <si>
    <t>NON-UNION EMPLOYEES</t>
  </si>
  <si>
    <t>INVESTMENT PLAN APPLICABLE TO MANAGEMENT</t>
  </si>
  <si>
    <t>PURCHASED POWER</t>
  </si>
  <si>
    <t>LIABILITY INSURANCE EXPENSE</t>
  </si>
  <si>
    <t>DEFERRED LOSS RECORDED FOR UE-111048, at 12/31/2017</t>
  </si>
  <si>
    <t>OTHER PWR - 557</t>
  </si>
  <si>
    <t>INJURIES &amp; DAMAGES PAYMENTS IN EXCESS OF ACCRUALS</t>
  </si>
  <si>
    <t>403 ELEC. PORTION OF COMMON</t>
  </si>
  <si>
    <t>REMOVE CONSERVATION RIDER - SCHEDULE 120</t>
  </si>
  <si>
    <t>CHANGE</t>
  </si>
  <si>
    <t>GPI MWh</t>
  </si>
  <si>
    <t>SALES TO CUSTOMERS:</t>
  </si>
  <si>
    <t>EXCISE TAXES</t>
  </si>
  <si>
    <t>SOUTH KING SERVICE CENTER RATEBASE (AMA)</t>
  </si>
  <si>
    <t>NEW SERVICE AGREEMENT</t>
  </si>
  <si>
    <t>ELECTRIC ENVIRONMENTAL REMEDIATION</t>
  </si>
  <si>
    <t>BENEFIT CONTRIBUTION:</t>
  </si>
  <si>
    <t>NON-UNION (INCLUDING. EXECUTIVES)</t>
  </si>
  <si>
    <t>WAGES:</t>
  </si>
  <si>
    <t>QUALIFIED RETIREMENT FUND</t>
  </si>
  <si>
    <t>PROPERTY INSURANCE EXPENSE</t>
  </si>
  <si>
    <t>DEFERRED GAIN RECORDED FOR UE-111048, at 12/31/2017</t>
  </si>
  <si>
    <t>1</t>
  </si>
  <si>
    <t>EXPENSES TO BE NORMALIZED:</t>
  </si>
  <si>
    <t>INTEREST EXPENSE AT MOST CURRENT INTEREST RATE</t>
  </si>
  <si>
    <t>D &amp; O INS. CHG  EXPENSE</t>
  </si>
  <si>
    <t>INCENTIVE / MERIT PAY</t>
  </si>
  <si>
    <t>May</t>
  </si>
  <si>
    <t xml:space="preserve">September </t>
  </si>
  <si>
    <t>12 MOS ENDED</t>
  </si>
  <si>
    <t>INJURIES &amp; DAMAGES ACCRUALS</t>
  </si>
  <si>
    <t>COLSTRIP RATEBASE (AMA)</t>
  </si>
  <si>
    <t>403 ELEC. DEPRECIATION EXPENSE</t>
  </si>
  <si>
    <t>RATE BASE</t>
  </si>
  <si>
    <t xml:space="preserve">TAXABLE INCOME (LOSS)  </t>
  </si>
  <si>
    <t>REMOVE REVENUE ASSOCIATED WITH RIDERS:</t>
  </si>
  <si>
    <t>MWH</t>
  </si>
  <si>
    <t>TEMP ADJ</t>
  </si>
  <si>
    <t>ELECTRIC LEGAL COSTS</t>
  </si>
  <si>
    <t>TEMPERATURE NORMALIZATION ADJUSTMENT:</t>
  </si>
  <si>
    <t>DESCRIPTION</t>
  </si>
  <si>
    <t>RESTATED</t>
  </si>
  <si>
    <t>TEST YEAR</t>
  </si>
  <si>
    <t>AMOUNT</t>
  </si>
  <si>
    <t>RATE YEAR</t>
  </si>
  <si>
    <t>PROFORMA</t>
  </si>
  <si>
    <t>TO REVENUE</t>
  </si>
  <si>
    <t>RESALE FIRM</t>
  </si>
  <si>
    <t>RESALE OTHER</t>
  </si>
  <si>
    <t>WRITEOFF'S</t>
  </si>
  <si>
    <t>YEAR</t>
  </si>
  <si>
    <t>PRO FORMA</t>
  </si>
  <si>
    <t>WRITE-OFF'S</t>
  </si>
  <si>
    <t>NET</t>
  </si>
  <si>
    <t>SALES FOR</t>
  </si>
  <si>
    <t>OTHER OPERATING</t>
  </si>
  <si>
    <t>GROSS</t>
  </si>
  <si>
    <t xml:space="preserve">2017 GENERAL RATE CASE </t>
  </si>
  <si>
    <t>FOR THE TWELVE MONTHS ENDED SEPTEMBER 30, 2016</t>
  </si>
  <si>
    <t>FILING FEE AND EXCISE TAX</t>
  </si>
  <si>
    <t>SOUTH KING SERVICE CENTER</t>
  </si>
  <si>
    <t>PAYMENT PROCESSING COSTS</t>
  </si>
  <si>
    <t>ENVIRONMENTAL REMEDIATION</t>
  </si>
  <si>
    <t>EMPLOYEE INSURANCE</t>
  </si>
  <si>
    <t>INVESTMENT PLAN</t>
  </si>
  <si>
    <t>WAGE INCREASE</t>
  </si>
  <si>
    <t>PENSION PLAN</t>
  </si>
  <si>
    <t>PROPERTY &amp; LIABILITY INSURANCE</t>
  </si>
  <si>
    <t>DEFERRED GAINS/LOSSES ON PROPERTY SALES</t>
  </si>
  <si>
    <t>RATE CASE EXPENSES</t>
  </si>
  <si>
    <t>INTEREST ON CUSTOMER DEPOSITS</t>
  </si>
  <si>
    <t>DIRECTORS &amp; OFFICERS INSURANCE</t>
  </si>
  <si>
    <t>INCENTIVE PAY</t>
  </si>
  <si>
    <t>NORMALIZE INJURIES AND DAMAGES</t>
  </si>
  <si>
    <t>REGULATORY ASSET COLSTRIP</t>
  </si>
  <si>
    <t>DEPRECIATION STUDY</t>
  </si>
  <si>
    <t>TAX BENEFIT OF PRO FORMA INTEREST</t>
  </si>
  <si>
    <t>PASS-THROUGH REVENUES AND EXPENSES</t>
  </si>
  <si>
    <t>TEMPERATURE NORMALIZATION</t>
  </si>
  <si>
    <t>REVENUES AND EXPENSES</t>
  </si>
  <si>
    <t>Adj. 13.24</t>
  </si>
  <si>
    <t>Adj. 13.06 A</t>
  </si>
  <si>
    <t xml:space="preserve">                             STAFF ADJUSTMENT</t>
  </si>
  <si>
    <t>Page 30 of 45</t>
  </si>
  <si>
    <t>Page 29 of 45</t>
  </si>
  <si>
    <t>Page 28 of 45</t>
  </si>
  <si>
    <t>Page 27 of 45</t>
  </si>
  <si>
    <t xml:space="preserve">                    CONTESTED</t>
  </si>
  <si>
    <t>Page 26 of 45</t>
  </si>
  <si>
    <t>Page 25 of 45</t>
  </si>
  <si>
    <t>Page 24 of 45</t>
  </si>
  <si>
    <t>Page 23 of 45</t>
  </si>
  <si>
    <t>Page 22 of 45</t>
  </si>
  <si>
    <t>Page 21 of 45</t>
  </si>
  <si>
    <t>Page 20 of 45</t>
  </si>
  <si>
    <t>Page 19 of 45</t>
  </si>
  <si>
    <t>Page 18 of 45</t>
  </si>
  <si>
    <t>Page 17 of 45</t>
  </si>
  <si>
    <t>Page 16 of 45</t>
  </si>
  <si>
    <t>Page 15 of 45</t>
  </si>
  <si>
    <t>Page 14 of 45</t>
  </si>
  <si>
    <t>Page 13 of 45</t>
  </si>
  <si>
    <t xml:space="preserve">                           CONTESTED</t>
  </si>
  <si>
    <t>Page 12 of 45</t>
  </si>
  <si>
    <t>Page 11 of 45</t>
  </si>
  <si>
    <t>Page 10 of 45</t>
  </si>
  <si>
    <t>Page 9 of 45</t>
  </si>
  <si>
    <t>Page 8 of 45</t>
  </si>
  <si>
    <t>Page 7 of 45</t>
  </si>
  <si>
    <t xml:space="preserve">                                        REVISED</t>
  </si>
  <si>
    <t xml:space="preserve">                                            REVISED</t>
  </si>
  <si>
    <t>check=&gt;</t>
  </si>
  <si>
    <t>TOTAL ADJUSTMENT TO REGULATORY ASSETS RATE BASE</t>
  </si>
  <si>
    <t>ELECTRON UNRECOVERED PLANT COSTS</t>
  </si>
  <si>
    <t>BAKER UPGRADE PLANT DEFERRAL (ENDS OCT 2018)</t>
  </si>
  <si>
    <t>SNOQUALMIE UPGRADE PLANT DEFERRAL (ENDS OCT 2018)</t>
  </si>
  <si>
    <t>FERNDALE PLANT DEFERRAL (ENDS OCT 2019)</t>
  </si>
  <si>
    <t>LOWER SNAKE RIVER PLANT DEFERRAL (ENDS APR 2016)</t>
  </si>
  <si>
    <t>MINT FARM DEFFRED - UE-090704 (ENDS MAR 2025)</t>
  </si>
  <si>
    <t>CARRYING CHARGES ON LSR PREPAID TRANSM</t>
  </si>
  <si>
    <t>LOWER SNAKE RIVER PREPAID TRANSM PRINCIPAL</t>
  </si>
  <si>
    <t>FERC PART 12 STUDY NON-CONSTRUCTION COSTS UE-070074</t>
  </si>
  <si>
    <t>COLSTRIP 1&amp;2 (WECo) PREPAYMENT</t>
  </si>
  <si>
    <t xml:space="preserve">CHELAN - ROCK ISLAND SECURITY DEPOSIT </t>
  </si>
  <si>
    <t>CHELAN PUD CONTRACT INITITATION</t>
  </si>
  <si>
    <t>WESTCOAST PIPELINE CAPACITY - UE-100503 (BNP PARIBUS)</t>
  </si>
  <si>
    <t>WESTCOAST PIPELINE CAPACITY - UE-082013 (FB ENERGY)</t>
  </si>
  <si>
    <t>WHITE RIVER REGULATORY ASSET</t>
  </si>
  <si>
    <t>BEP</t>
  </si>
  <si>
    <t>TREASURY GRANTS DEFERRAL - BAKER</t>
  </si>
  <si>
    <t>TREASURY GRANTS DEFERRAL - SNOQUALMIE</t>
  </si>
  <si>
    <t>REGULATORY ASSETS RATE BASE (INCLUDES POWER COST REG ASSETS/LIAB):</t>
  </si>
  <si>
    <t>TOTAL ADJUSTMENT TO PRODUCTION RATE BASE</t>
  </si>
  <si>
    <t xml:space="preserve">    ACCUM AMORT OF TREASURY GRANTS FOR SNOQUALMIE AND BAKER</t>
  </si>
  <si>
    <t xml:space="preserve">    TREASURY GRANTS FOR SNOQUALMIE AND BAKER</t>
  </si>
  <si>
    <t xml:space="preserve">    NOL DEFERRED TAX ASSET ATTRIBUTABLE TO PRODUCTION</t>
  </si>
  <si>
    <t>LIBR. DEPREC. POST 1980 (AMA)</t>
  </si>
  <si>
    <t>DEDUCT:</t>
  </si>
  <si>
    <t>AND THEREFORE ARE NOT ADJUSTED HERE.</t>
  </si>
  <si>
    <t>INCREASE (DECREASE) FIT @ 35% (LINE 45 X 35%)</t>
  </si>
  <si>
    <t xml:space="preserve">LIABILITIES ARE PERFORMED IN THE POWER COST ADJUSTMENT (ADJUSTMENT NO. 9.01) </t>
  </si>
  <si>
    <t xml:space="preserve">(NOTE 1) THE ADJUSTMENTS FOR AMORTIZATION OF POWER COST RELATED REGULATORY ASSETS AND </t>
  </si>
  <si>
    <t>TOTAL INCREASE (DECREASE) OPERATING EXPENSE (LINE 16 + LINE 43)</t>
  </si>
  <si>
    <t>NET PRODUCTION PROPERTY</t>
  </si>
  <si>
    <t xml:space="preserve">    ACCUMULATED AMORTIZATION ON ACQUISTION ADJ</t>
  </si>
  <si>
    <t>ACQUISITION ADJUSTMENT</t>
  </si>
  <si>
    <t>COLSTRIP DEFERRED DEPRECIATION FERC ADJ.</t>
  </si>
  <si>
    <t>LESS TOTAL RATE YEAR AMORTIZATION per books</t>
  </si>
  <si>
    <t>COLSTRIP COMMON FERC ADJUSTMENT</t>
  </si>
  <si>
    <t>TOTAL RATE YEAR AMORTIZATION (LINE 27 + LINE 34 + LINE 38)</t>
  </si>
  <si>
    <t xml:space="preserve">    PRODUCTION PROPERTY ACCUM AMORT.</t>
  </si>
  <si>
    <t xml:space="preserve">    NON-DEPRECIABLE PRODUCTION PROPERTY</t>
  </si>
  <si>
    <t>AMORTIZE balance over six years</t>
  </si>
  <si>
    <t xml:space="preserve">    PRODUCTION PROPERTY ACCUM DEPR. </t>
  </si>
  <si>
    <t xml:space="preserve">      Less remaining 2010 over amortization</t>
  </si>
  <si>
    <t>DEPRECIABLE PRODUCTION PROPERTY (INCLUDES HYDRO GRANTS)</t>
  </si>
  <si>
    <t>01/18/12 SNOW STORM - Approve.  Apply remaining 2010 over amortization</t>
  </si>
  <si>
    <t>PRODUCTION RATE BASE:</t>
  </si>
  <si>
    <t>DEFERRED BALANCES FOR 6 YEAR AMORTIZATION AT</t>
  </si>
  <si>
    <t>RATEBASE:</t>
  </si>
  <si>
    <t>TOTAL AMORTIZATION OF REG ASSETS/LIABS</t>
  </si>
  <si>
    <t>CATASTROPHIC STORMS</t>
  </si>
  <si>
    <t/>
  </si>
  <si>
    <t>Page 45 of 45</t>
  </si>
  <si>
    <t>Remaining balance of 2010 over amortization.  Apply to 1/18/12 storm</t>
  </si>
  <si>
    <t>check =&gt;</t>
  </si>
  <si>
    <t>12/13/06 WIND STORM - recover EOY 2017 balance from 2010 over amortization*</t>
  </si>
  <si>
    <t>TOTAL REGULATORY ASSET ADJUSTMENT TO DECOUPLING RATE</t>
  </si>
  <si>
    <t>2010 STORM DAMAGE - APPROVE, recover from 2010 over amortization</t>
  </si>
  <si>
    <t xml:space="preserve">     CARRYING CHARGES ON LSR PREPAID TRANSM</t>
  </si>
  <si>
    <t>2010 STORM DAMAGE over amortization balance at Dec. 2017</t>
  </si>
  <si>
    <t xml:space="preserve">     FERC PART 12 STUDY NON-CONSTRUCTION COSTS UE-070074</t>
  </si>
  <si>
    <t>START OF RATE YEAR (01/31/18):</t>
  </si>
  <si>
    <t xml:space="preserve">      SNOQUALMIE UPGRADE PLANT DEFERRAL UE-130617</t>
  </si>
  <si>
    <t>|------------------------ (NOTE 1) -------------------------|</t>
  </si>
  <si>
    <t>DEFERRED BALANCES FOR 10 YEAR AMORTIZATION AT</t>
  </si>
  <si>
    <t xml:space="preserve">     BAKER UPGRADE PLANT DEFERRAL UE-130617</t>
  </si>
  <si>
    <t xml:space="preserve">     FERNDALE PLANT DEFERRAL - UE-130617</t>
  </si>
  <si>
    <t>PSE added 2017 Storm -- out of test period. No deferral, captured in a future average</t>
  </si>
  <si>
    <t xml:space="preserve">     LSR PLANT DEFERRAL - UE-111048</t>
  </si>
  <si>
    <t>PSE added Oct. 2016 Storm  -- out of test period. No deferral, captured in a future average</t>
  </si>
  <si>
    <t xml:space="preserve">     MINT FARM DEFFRAL - UE-090704</t>
  </si>
  <si>
    <t xml:space="preserve">     ELECTRON UNRECOVERED COSTS</t>
  </si>
  <si>
    <t xml:space="preserve">   DEFERRED TAXES (Remove) - </t>
  </si>
  <si>
    <t xml:space="preserve">     TREASURY GRANTS DEFERRAL - BAKER</t>
  </si>
  <si>
    <t>TOTAL (LINE 21 THROUGH LINE 25) - WORKING CAPITAL INCREACE (DECREASE)</t>
  </si>
  <si>
    <t xml:space="preserve">     TREASURY GRANTS DEFERRAL - SNOQUALMIE</t>
  </si>
  <si>
    <t>2016 Deferred Balance Oct. 2015 to Sep. 2016 - return to test year expense</t>
  </si>
  <si>
    <t xml:space="preserve">     WHITE RIVER REGULATORY ASSET</t>
  </si>
  <si>
    <t>AMORTIZATION OF REGULATORY ASSET/LIABILITY</t>
  </si>
  <si>
    <t>2015 Deferred Balance Oct. 2014 to Sep. 2015</t>
  </si>
  <si>
    <t>AMORTIZATION ON REGULATORY ASSETS (EXXLUDES POWER REG AMORT)</t>
  </si>
  <si>
    <t>2014 Deferred Balance Oct. 2013 to Sep. 2014</t>
  </si>
  <si>
    <t>TOTAL DEPRECIATION</t>
  </si>
  <si>
    <t>2013 Deferred Balance Oct. 2012 to Sep. 2013</t>
  </si>
  <si>
    <t>TOTAL OTHER TAXES</t>
  </si>
  <si>
    <t>DEP EXP PORTION INCLUDED IN DEPRECIATION STUDY</t>
  </si>
  <si>
    <t xml:space="preserve">TOTAL REGULATORY ASSETS AND LIABILITIES RATEBASE </t>
  </si>
  <si>
    <t>2012 Deferred Balance Oct. 2011 to Sep. 2012</t>
  </si>
  <si>
    <t>NEW ASSET DEPRECIATION EXPENSE</t>
  </si>
  <si>
    <t xml:space="preserve">Remove from deferred accounts.  Add back to normal storms </t>
  </si>
  <si>
    <t>MONTANA ENERGY TAX</t>
  </si>
  <si>
    <t>Page 36 of 45</t>
  </si>
  <si>
    <t>OTHER TAXES:</t>
  </si>
  <si>
    <t>RETIRED ASSET DERPRECATION EXPENSE</t>
  </si>
  <si>
    <t>Big but not CATASTROPHIC STORMS</t>
  </si>
  <si>
    <t>STATE UTILITY TAX SAVINGS FOR LINE 12</t>
  </si>
  <si>
    <t xml:space="preserve">     INCREASE (DECREASE) NOI</t>
  </si>
  <si>
    <t>GOLDENDALE CAPACITY UPGRADE OPERATING EXPENSE</t>
  </si>
  <si>
    <t>TOTAL DEPRECIATION / AMORTIZATION</t>
  </si>
  <si>
    <t xml:space="preserve">     INCREASE (DECREASE) FIT</t>
  </si>
  <si>
    <t>INCREASE (DECREASE) OPERATING EXPENSE (LINE 11-LINE 14)</t>
  </si>
  <si>
    <t xml:space="preserve">INCREASE (DECREASE) OPERATING INCOME </t>
  </si>
  <si>
    <t>AMORTIZATION (OTHER THAN REGULATORY ASSETS/LIAB)</t>
  </si>
  <si>
    <t>AMORTIZATION OF TREASURY GRANTS (407.4)</t>
  </si>
  <si>
    <t xml:space="preserve">    INCREASE (DECREASE ) EXPENSE</t>
  </si>
  <si>
    <t>DFIT PORTION INCLUDED IN DEPRECIATION STUDY</t>
  </si>
  <si>
    <t xml:space="preserve">  STORM DAMAGE EXPENSE (per PSE Supplemental Filing)</t>
  </si>
  <si>
    <t xml:space="preserve">ACCUM DEFERRED FIT </t>
  </si>
  <si>
    <t>CHARGED TO EXPENSE  12 MONTH ENDED 09/30/16</t>
  </si>
  <si>
    <t>EQUITY RETURN ON CENTRALIA TRANSITION COAL PPA</t>
  </si>
  <si>
    <t>DEPRECIATION / AMORTIZATION:</t>
  </si>
  <si>
    <t xml:space="preserve">    TOTAL WHITE RIVER EXPENSES</t>
  </si>
  <si>
    <t>A/D PORTION INCLUDED IN DEPRECIATION STUDY</t>
  </si>
  <si>
    <t>TOTAL OPERATING EXPENSES</t>
  </si>
  <si>
    <t>PORTION INCLUDED IN DEPRECIATION STUDY ADJ</t>
  </si>
  <si>
    <t>456-1 VARIABLE TRANSM. INCOME - COLSTRIP, 3RD AC &amp; NI</t>
  </si>
  <si>
    <t>WHITE RIVER AMORTIZATION</t>
  </si>
  <si>
    <t>DEPR EXP-PORTION FOR NEW DEPR STUDY</t>
  </si>
  <si>
    <t>SIX-YEAR AVERAGE STORM EXPENSE FOR RATE YEAR (LINE 9 ÷ 6 YEARS)</t>
  </si>
  <si>
    <t xml:space="preserve">TRANS. EXP. INCL. 500KV O&amp;M </t>
  </si>
  <si>
    <t>TOTAL PRODUCTION O&amp;M / A&amp;G</t>
  </si>
  <si>
    <t xml:space="preserve">     WHITE RIVER AMORTIZATION</t>
  </si>
  <si>
    <t xml:space="preserve">   DEPRECIATION EXPENSE</t>
  </si>
  <si>
    <t>CHARGED TO EXPENSE</t>
  </si>
  <si>
    <t>PRODUCTION O&amp;M</t>
  </si>
  <si>
    <t>PROPERTY INSURANCE - A&amp;G 926</t>
  </si>
  <si>
    <r>
      <t xml:space="preserve">UTILITY PLANT RATEBASE - </t>
    </r>
    <r>
      <rPr>
        <b/>
        <i/>
        <u/>
        <sz val="10"/>
        <rFont val="Times New Roman"/>
        <family val="1"/>
      </rPr>
      <t>NEW ADDITION</t>
    </r>
  </si>
  <si>
    <t>TOTAL NORMAL STORMS</t>
  </si>
  <si>
    <t>RESTATED ENERGY TAX (LINE 1 X LINE 2)</t>
  </si>
  <si>
    <t>WORKER'S COMP - A&amp;G 926</t>
  </si>
  <si>
    <t>TOTAL TREASURY GRANTS EXPENSE</t>
  </si>
  <si>
    <t xml:space="preserve">    TOTAL WHITE RIVER NET</t>
  </si>
  <si>
    <t>EIM OPERATING EXPENSE</t>
  </si>
  <si>
    <t xml:space="preserve">  TWELVE MONTHS ENDED 09/30/16 + balance from line 25</t>
  </si>
  <si>
    <t>NET WILD HORSE SOLAR PLANT RATEBASE</t>
  </si>
  <si>
    <t xml:space="preserve">    456-PURCHASES/SALES OF NON-CORE GAS</t>
  </si>
  <si>
    <t>BENEFITS - A&amp;G 926</t>
  </si>
  <si>
    <t>DEFERRED INCOME TAX LIABILITY</t>
  </si>
  <si>
    <t>GLACIER BATTERY STORAGE RATEBASE</t>
  </si>
  <si>
    <t xml:space="preserve">  TWELVE MONTHS ENDED 09/30/15 + balance from line 24</t>
  </si>
  <si>
    <t xml:space="preserve">INCREASE (DECREASE) DEFERRED FIT @ </t>
  </si>
  <si>
    <t>ADFIT PORTION INCLUDED IN DEPRECIATION STUDY ADJ</t>
  </si>
  <si>
    <t xml:space="preserve">     EEELT Tax</t>
  </si>
  <si>
    <t xml:space="preserve">    447-SALES FOR RESALE</t>
  </si>
  <si>
    <t>WAGES &amp; INCENTIVE - PROD O&amp;M</t>
  </si>
  <si>
    <t>HYDRO TREASURY GRANTS OPERATING EXPENSE</t>
  </si>
  <si>
    <t xml:space="preserve">ACCUMULATED AMORTIZATION </t>
  </si>
  <si>
    <t xml:space="preserve">   DEF IN TAX LIAB-PORT NEW DEPR STUDY</t>
  </si>
  <si>
    <t xml:space="preserve">  TWELVE MONTHS ENDED 09/30/14 + balance from line 23 allocated to T &amp; D</t>
  </si>
  <si>
    <t>EEELT Tax Rate</t>
  </si>
  <si>
    <t xml:space="preserve">    565-WHEELING</t>
  </si>
  <si>
    <t>WAGES &amp; INCENTIVE - OTHER PWR 557</t>
  </si>
  <si>
    <t>TOTAL WHITE RIVER</t>
  </si>
  <si>
    <t xml:space="preserve">   DEFERRED INCOME TAX LIABILITY</t>
  </si>
  <si>
    <t xml:space="preserve">  TWELVE MONTHS ENDED 09/30/13</t>
  </si>
  <si>
    <t>INCREASE(DECREASE) OPERATING INCOME</t>
  </si>
  <si>
    <t xml:space="preserve">   A/D PORTION INCLUDED IN DEPRECIATION STUDY ADJ</t>
  </si>
  <si>
    <t>557-OTHER POWER EXPENSE</t>
  </si>
  <si>
    <t>O&amp;M / A&amp;G  PRODUCTION RELATED</t>
  </si>
  <si>
    <t>WHITE RIVER FUTURE USE PLANT FERC 105</t>
  </si>
  <si>
    <t>ACCUM DEPR-PORTION NEW DEPR STUDY</t>
  </si>
  <si>
    <t xml:space="preserve">  TWELVE MONTHS ENDED 09/30/12</t>
  </si>
  <si>
    <t xml:space="preserve">     WETT Tax</t>
  </si>
  <si>
    <t>555-PURCHASED POWER</t>
  </si>
  <si>
    <t>OPERATING EXPENSE:</t>
  </si>
  <si>
    <t>TOTAL TREASURY GRANTS RATEBASE</t>
  </si>
  <si>
    <t>WHITE RIVER PLANT IN SERVICE FERC 101</t>
  </si>
  <si>
    <t xml:space="preserve">  TWELVE MONTHS ENDED 09/30/11</t>
  </si>
  <si>
    <t>WETT Tax Rate</t>
  </si>
  <si>
    <t>547-FUEL</t>
  </si>
  <si>
    <t>VARIABLE</t>
  </si>
  <si>
    <t>APPLIED ONLY TO LINE 19</t>
  </si>
  <si>
    <t>NET HYDRO TREASURY GRANTS BALANCE IN DEFFERED DEBITS &amp; CREDITS</t>
  </si>
  <si>
    <t xml:space="preserve">WHITE RIVER PLANT REGULATORY ASSET </t>
  </si>
  <si>
    <t>ACTUAL O&amp;M:</t>
  </si>
  <si>
    <t>RATEBASE (AMA) UTILITY PLANT RATEBASE</t>
  </si>
  <si>
    <t>TRANSMISSION LINE LOSS % FOR WECC</t>
  </si>
  <si>
    <t>501-STEAM FUEL</t>
  </si>
  <si>
    <t>FIXED</t>
  </si>
  <si>
    <t>APPLIED TO ALL BUT LINE 19</t>
  </si>
  <si>
    <t>HYDRO TREASURY GRANTS RATEBASE</t>
  </si>
  <si>
    <t xml:space="preserve">     WHITE RIVER AMA</t>
  </si>
  <si>
    <t>MINT FARM CAPACITY UPGRADE RATEBASE (AMA)</t>
  </si>
  <si>
    <r>
      <t>UTILITY PLANT RATEBASE -</t>
    </r>
    <r>
      <rPr>
        <i/>
        <u/>
        <sz val="10"/>
        <rFont val="Times New Roman"/>
        <family val="1"/>
      </rPr>
      <t xml:space="preserve"> </t>
    </r>
    <r>
      <rPr>
        <b/>
        <i/>
        <u/>
        <sz val="10"/>
        <rFont val="Times New Roman"/>
        <family val="1"/>
      </rPr>
      <t>RETIRED ASSET</t>
    </r>
  </si>
  <si>
    <t>EIM RATEBASE (AMA)</t>
  </si>
  <si>
    <t>AMA OF REGULATORY ASSET/LIABILITY NET OF ACCUM AMORT AND DFIT</t>
  </si>
  <si>
    <t>NORMAL STORMS</t>
  </si>
  <si>
    <t>ASC 815 OPERATING EXPENSE</t>
  </si>
  <si>
    <t>Rate Year KWh</t>
  </si>
  <si>
    <t>PRODUCTION EXPENSES:</t>
  </si>
  <si>
    <t>FACTOR</t>
  </si>
  <si>
    <t>AND RESTATED</t>
  </si>
  <si>
    <t xml:space="preserve"> YEAR</t>
  </si>
  <si>
    <t>(DECREASE)</t>
  </si>
  <si>
    <t>FIT</t>
  </si>
  <si>
    <t>TEST</t>
  </si>
  <si>
    <t>GENERAL RATE CASE</t>
  </si>
  <si>
    <t xml:space="preserve"> GENERAL RATE CASE</t>
  </si>
  <si>
    <t>PRODUCTION ADJUSTMENT</t>
  </si>
  <si>
    <t>TRANSFER OF HYDRO TREASURY GRANTS IN RATEBASE</t>
  </si>
  <si>
    <t>WHITE RIVER</t>
  </si>
  <si>
    <t>MINT FARM CAPACITY UPGRADE</t>
  </si>
  <si>
    <t>GOLDENDALE CAPACITY UPGRADE</t>
  </si>
  <si>
    <t>ENERGY IMBALANCE MARKET</t>
  </si>
  <si>
    <t>GLACIER BATTERY STORAGE</t>
  </si>
  <si>
    <t>REGULATORY ASSETS AND LIABILITIES</t>
  </si>
  <si>
    <t>STORM DAMAGE</t>
  </si>
  <si>
    <t>ACCOUNTING STANDARDS CODIFICATION 815 (FORMERLY SFAS 133)</t>
  </si>
  <si>
    <t xml:space="preserve">WILD HORSE SOLAR </t>
  </si>
  <si>
    <t>MONTANA ELECTRIC ENERGY TAX</t>
  </si>
  <si>
    <t>POWER COSTS</t>
  </si>
  <si>
    <t>Adj. 14.01</t>
  </si>
  <si>
    <t>Page 44 of 45</t>
  </si>
  <si>
    <t>Page 43 of 45</t>
  </si>
  <si>
    <t>Page 42 of 45</t>
  </si>
  <si>
    <t>Page 41 of 45</t>
  </si>
  <si>
    <t>Page 40 of 45</t>
  </si>
  <si>
    <t>Page 39 of 45</t>
  </si>
  <si>
    <t>Page 38 of 45</t>
  </si>
  <si>
    <t>Page 37 of 45</t>
  </si>
  <si>
    <t>Page 35 of 45</t>
  </si>
  <si>
    <t>Page 34 of 45</t>
  </si>
  <si>
    <t>Page 33 of 45</t>
  </si>
  <si>
    <t>Page 32 of 45</t>
  </si>
  <si>
    <t>Page 31 of 45</t>
  </si>
  <si>
    <t>`</t>
  </si>
  <si>
    <t>REVENUE REQUIREMENT DEFICIENCY</t>
  </si>
  <si>
    <t>SALES FROM RESALE-FIRM</t>
  </si>
  <si>
    <t>CONVERSION FACTOR</t>
  </si>
  <si>
    <t>OPERATING INCOME DEFICIENCY</t>
  </si>
  <si>
    <t>PRO FORMA OPERATING INCOME</t>
  </si>
  <si>
    <t>OPERATING INCOME REQUIREMENT</t>
  </si>
  <si>
    <t>PSE</t>
  </si>
  <si>
    <t>DIFF</t>
  </si>
  <si>
    <t>2nd Change in ISWC (13.23)</t>
  </si>
  <si>
    <t>Mint Farm (14.10) ADD BACK</t>
  </si>
  <si>
    <t>Production Factor (14.13) - reflect Decoupling proposal</t>
  </si>
  <si>
    <t>Production Factor (14.13)</t>
  </si>
  <si>
    <t>Change in Weather Normal. (13.02)</t>
  </si>
  <si>
    <t>Change in ISWC (13.23)</t>
  </si>
  <si>
    <t>Cost of Capital</t>
  </si>
  <si>
    <t>Legal Cost (13.24)</t>
  </si>
  <si>
    <t>Temp Normalization (13.02)</t>
  </si>
  <si>
    <t>Hydro Treasury Grants (14.12)</t>
  </si>
  <si>
    <t>Environ. Rem (13.19)</t>
  </si>
  <si>
    <t>ISWC Staff Adjustment (13.23)</t>
  </si>
  <si>
    <t>Storm Damage (14.05)</t>
  </si>
  <si>
    <t>Reg Asset Colstrip (13.06 A)</t>
  </si>
  <si>
    <t>Depr Study (13.06)</t>
  </si>
  <si>
    <t>GRC Expense (13.12)</t>
  </si>
  <si>
    <t>Energy Imbalance Market (14.08)</t>
  </si>
  <si>
    <t>White River (14.11)</t>
  </si>
  <si>
    <t>Mint Farm (14.10)</t>
  </si>
  <si>
    <t>Processing Costs (13.20)</t>
  </si>
  <si>
    <t>Power/EIM/CAR Costs (14.01)</t>
  </si>
  <si>
    <t>PER PSE SUPPLEMENTAL</t>
  </si>
  <si>
    <t>* Note: Current 2017 revenues related to PSE's PCORC, ERF, and Decoupling that will be folded into base rates.</t>
  </si>
  <si>
    <t>REVENUE REQUIREMENT SUFFICIENCY</t>
  </si>
  <si>
    <t>TOTAL AFTER TAX COST OF CAPITAL</t>
  </si>
  <si>
    <t>EQUITY</t>
  </si>
  <si>
    <t>AFTER TAX LONG TERM DEBT</t>
  </si>
  <si>
    <t>AFTER TAX SHORT TERM DEBT</t>
  </si>
  <si>
    <t>SUM OF TAXES OTHER</t>
  </si>
  <si>
    <t>TOTAL COST OF CAPITAL</t>
  </si>
  <si>
    <t>LONG TERM DEBT</t>
  </si>
  <si>
    <t>SHORT TERM DEBT</t>
  </si>
  <si>
    <t>CAPITAL</t>
  </si>
  <si>
    <t>%</t>
  </si>
  <si>
    <t>CAPITAL %</t>
  </si>
  <si>
    <t>SUFFICIENCY</t>
  </si>
  <si>
    <t>DEFICIENCY</t>
  </si>
  <si>
    <t>COST OF</t>
  </si>
  <si>
    <t>COST</t>
  </si>
  <si>
    <r>
      <t>CURRENT OTHER SCHEDULE</t>
    </r>
    <r>
      <rPr>
        <b/>
        <sz val="12"/>
        <rFont val="Times New Roman"/>
        <family val="1"/>
      </rPr>
      <t>*</t>
    </r>
  </si>
  <si>
    <t>@ 2011 REVENUE</t>
  </si>
  <si>
    <t>PRO FORMA COST OF CAPITAL</t>
  </si>
  <si>
    <t>Page 3 of 3</t>
  </si>
  <si>
    <t>Page 2 of 3</t>
  </si>
  <si>
    <t>Page 1 of 3</t>
  </si>
  <si>
    <t>SHORT TERM DEBT (PSE combined)</t>
  </si>
  <si>
    <t>PSE Cost of Capital in Staff Format</t>
  </si>
  <si>
    <r>
      <t>Numbers are hardcoded in these table columns (G) and (H). In order to capture Staff's developing Rev Req (revenue requirement) prior to adding Staff's proposed cost of capital in Staff's proposed format (below). To reproduce the hardcoded figures: Go to MCC-</t>
    </r>
    <r>
      <rPr>
        <b/>
        <sz val="8"/>
        <rFont val="Times New Roman"/>
        <family val="1"/>
      </rPr>
      <t>3</t>
    </r>
    <r>
      <rPr>
        <sz val="8"/>
        <rFont val="Times New Roman"/>
        <family val="1"/>
      </rPr>
      <t xml:space="preserve"> and add back PSE's proposed cost of capital. Go back to MCC-</t>
    </r>
    <r>
      <rPr>
        <b/>
        <sz val="8"/>
        <rFont val="Times New Roman"/>
        <family val="1"/>
      </rPr>
      <t>4</t>
    </r>
    <r>
      <rPr>
        <sz val="8"/>
        <rFont val="Times New Roman"/>
        <family val="1"/>
      </rPr>
      <t xml:space="preserve"> and you will observe that table columns G/J, H/K, and I/L are exactly the same.</t>
    </r>
  </si>
  <si>
    <t>* Note:</t>
  </si>
  <si>
    <t>Staff Proposed</t>
  </si>
  <si>
    <t>ROR Impact</t>
  </si>
  <si>
    <t>Diff</t>
  </si>
  <si>
    <t>PSE Proposed</t>
  </si>
  <si>
    <t>check</t>
  </si>
  <si>
    <t>LESS: Sales from Resale-Firm</t>
  </si>
  <si>
    <t>Adjusted Results of Operations</t>
  </si>
  <si>
    <t>Total Adjustment</t>
  </si>
  <si>
    <t>LEGAL COSTS</t>
  </si>
  <si>
    <t>INVESTOR SUPPLIED WORKING CAPITAL</t>
  </si>
  <si>
    <t>Staff Only Adjustments</t>
  </si>
  <si>
    <t>Common Equity</t>
  </si>
  <si>
    <t>Preferred Stock</t>
  </si>
  <si>
    <t>Short&amp;Long-term Debt</t>
  </si>
  <si>
    <t>Cost%</t>
  </si>
  <si>
    <t>Cap Structure</t>
  </si>
  <si>
    <t>Electric Only Adjustments</t>
  </si>
  <si>
    <t>Weighted Cost</t>
  </si>
  <si>
    <t>After Tax ROR</t>
  </si>
  <si>
    <t>Pre Tax ROR</t>
  </si>
  <si>
    <t>Common Adjustments</t>
  </si>
  <si>
    <t>Actual Results of Operations</t>
  </si>
  <si>
    <t>(O) = (E) - (L)</t>
  </si>
  <si>
    <t>(N) = (E) - (I)</t>
  </si>
  <si>
    <t>(M)</t>
  </si>
  <si>
    <t>(L)</t>
  </si>
  <si>
    <t>(K)</t>
  </si>
  <si>
    <t>(J)</t>
  </si>
  <si>
    <t>(I)</t>
  </si>
  <si>
    <t>(H)</t>
  </si>
  <si>
    <t>(G)</t>
  </si>
  <si>
    <t>(F)</t>
  </si>
  <si>
    <t>(E)</t>
  </si>
  <si>
    <t>(D)</t>
  </si>
  <si>
    <t xml:space="preserve">(C) </t>
  </si>
  <si>
    <t>(B)</t>
  </si>
  <si>
    <t>(A)</t>
  </si>
  <si>
    <t>Rate Base</t>
  </si>
  <si>
    <t>@7.37%</t>
  </si>
  <si>
    <t>NOI</t>
  </si>
  <si>
    <t>@7.74</t>
  </si>
  <si>
    <t>Rate Base*</t>
  </si>
  <si>
    <t>NOI*</t>
  </si>
  <si>
    <t>@7.74%</t>
  </si>
  <si>
    <t>Description</t>
  </si>
  <si>
    <t>Adj. No.</t>
  </si>
  <si>
    <t>STAFF</t>
  </si>
  <si>
    <t>Return on</t>
  </si>
  <si>
    <t>Rev Req</t>
  </si>
  <si>
    <t xml:space="preserve">Staff </t>
  </si>
  <si>
    <t>PSE Direct (Supplemental)</t>
  </si>
  <si>
    <t>Staff-PSE</t>
  </si>
  <si>
    <t>Page 1 of 1</t>
  </si>
  <si>
    <t>COMPARISON OF PSE-STAFF REVENUE REQUIREMENTS</t>
  </si>
  <si>
    <t>PUGET SOUND ENERGY - ELECTRIC</t>
  </si>
  <si>
    <t>(1) Non-Operating includes accounts that accrue or earn interest, CWIP, Non-utility, and or accounts not allowed for rate making purposes.</t>
  </si>
  <si>
    <t>Footnotes:</t>
  </si>
  <si>
    <t>Non-Operating Allocation (Line 32 / Line 23)</t>
  </si>
  <si>
    <t>Non Operating Working Capital</t>
  </si>
  <si>
    <t>Gas Allocation (Line 30 / Line 23)</t>
  </si>
  <si>
    <t>Gas Working Capital</t>
  </si>
  <si>
    <t>Electric Allocation (Line 28 / Line 23)</t>
  </si>
  <si>
    <t>Electric Working Capital</t>
  </si>
  <si>
    <t>INVESTED SUPPLIED WORKING CAPITAL</t>
  </si>
  <si>
    <t>Total Investor Supplied Capital</t>
  </si>
  <si>
    <t>Rounding</t>
  </si>
  <si>
    <t>Total Average Investments</t>
  </si>
  <si>
    <t>(1)</t>
  </si>
  <si>
    <t>Total Non Operating Investment</t>
  </si>
  <si>
    <t xml:space="preserve">Non-Operating </t>
  </si>
  <si>
    <t>Total Electric &amp; Gas Investment</t>
  </si>
  <si>
    <t>Total Gas (Rate Base and Deferrals)</t>
  </si>
  <si>
    <t>Gas (Rate Base and Deferrals)</t>
  </si>
  <si>
    <t>Total Electric (Rate Base and Deferrals)</t>
  </si>
  <si>
    <t>Electric (Rate Base and Deferrals)</t>
  </si>
  <si>
    <t>INVESTMENTS</t>
  </si>
  <si>
    <t>Total Average Invested Capital</t>
  </si>
  <si>
    <t>FOOTNOTE</t>
  </si>
  <si>
    <t>AVERAGE INVESTED CAPITAL</t>
  </si>
  <si>
    <t>AMA</t>
  </si>
  <si>
    <t>(d)</t>
  </si>
  <si>
    <t>(c) = (d) - (b)</t>
  </si>
  <si>
    <t>(b)</t>
  </si>
  <si>
    <t>(a)</t>
  </si>
  <si>
    <t>REVISED TOTAL AS ADJUSTED BY STAFF</t>
  </si>
  <si>
    <t>STAFF ADJUSTMENT</t>
  </si>
  <si>
    <t>PSE WP - "5.03 E&amp;G RB - 5.04 E&amp;G WC 17GRC.xlsx"</t>
  </si>
  <si>
    <t>Per Exh. BAE-3 ISWC</t>
  </si>
  <si>
    <t>For the Twelve Months Ended September 30, 2016</t>
  </si>
  <si>
    <t>STAFF'S ADJUSTMENT TO INVESTOR SUPPLIED WORKING CAPITAL AND RATE BASE</t>
  </si>
  <si>
    <t xml:space="preserve">Puget Sound Energy </t>
  </si>
  <si>
    <t xml:space="preserve">     REVISED</t>
  </si>
  <si>
    <t>FINAL REVENUE</t>
  </si>
  <si>
    <t>Adjustment Detail (Page 5)</t>
  </si>
  <si>
    <t>Adjustment Detail (Page 4)</t>
  </si>
  <si>
    <t>Adjustment Detail (Page 3)</t>
  </si>
  <si>
    <t>Adjustment Detail (Page 2)</t>
  </si>
  <si>
    <t>Adjustment Detail (Page 1)</t>
  </si>
  <si>
    <t>OVERALL REVENUE DEFICIENCY CALCULATION</t>
  </si>
  <si>
    <t>Page 1 of 6</t>
  </si>
  <si>
    <t>Exh. KJB-12</t>
  </si>
  <si>
    <t>Page 6 of 6</t>
  </si>
  <si>
    <t>Page 5 of 6</t>
  </si>
  <si>
    <t>Page 4 of 6</t>
  </si>
  <si>
    <t>Page 3 of 6</t>
  </si>
  <si>
    <t>Page 2 of 6</t>
  </si>
  <si>
    <t>UE-170033 - UG-170034 Piliaris Supplemental Exhibit JAP-44 PSE 04-03-2017.xlsx</t>
  </si>
  <si>
    <t>UE-170033 - UG-170034 Barnard Supplemental Exhibit KJB-11, KJB-12, KJB-13, KJB-14, KJB-15 PSE 04-03-2017.xlsx</t>
  </si>
  <si>
    <t>Exh. MCC-6</t>
  </si>
  <si>
    <t xml:space="preserve">Source Exhibits: </t>
  </si>
  <si>
    <t>12 ME 9/30/2013 AND 5/31/2013</t>
  </si>
  <si>
    <t>12 ME 9/30/2015 AND 5/31/2015</t>
  </si>
  <si>
    <t>12 ME 9/30/2016 AND 5/31/2016</t>
  </si>
  <si>
    <t>MINT FARM DEFFRED - UE-090704 (FERC 407.3)</t>
  </si>
  <si>
    <t>CHELAN PUD</t>
  </si>
  <si>
    <t>FERC PART 12 STUDY NON-CONSTRUCTION COSTS UE-070074 (FERC 407)</t>
  </si>
  <si>
    <t>LOWER SNAKE RIVER PP TRANSM PRINCIPAL $99.8M</t>
  </si>
  <si>
    <t>CARRYING CHARGES ON LSR PP TRANSM $99.8M (FERC 407.3)</t>
  </si>
  <si>
    <t>LOWER SNAKE RIVER PLANT DEFERRAL $18.3M  (FERC 407.3)</t>
  </si>
  <si>
    <t>BAKER LICENSE UPGRADE DEFERRAL (2013 PCORC) (FERC 407.3)</t>
  </si>
  <si>
    <t>SNOQUALMIE LICENSE UPGRADE DEFERRAL (2013 PCORC) (FERC 407.3)</t>
  </si>
  <si>
    <t>FERNDALE DEFERRAL (2013 PCORC) (FERC 407.3)</t>
  </si>
  <si>
    <t>BAKER TREASURY GRANT DEFERRAL (2014 PCORC) (FERC 407.4)</t>
  </si>
  <si>
    <t>SNOQUALMIE TREASURY GRANT DEFERRAL (2014 PCORC) (FERC 407.4)</t>
  </si>
  <si>
    <t>ELECTRON UNRECOVERED COST (2014 PCORC) (FERC 407.3)</t>
  </si>
  <si>
    <t>Exh. MCC-2r</t>
  </si>
  <si>
    <t>Exh. MCC-3r</t>
  </si>
  <si>
    <t>Exh. MCC-4r</t>
  </si>
  <si>
    <t>Exh. MCC-5r</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</si>
</sst>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_(&quot;$&quot;* #,##0_);_(&quot;$&quot;* \(#,##0\);_(&quot;$&quot;* &quot;-&quot;??_);_(@_)"/>
    <numFmt numFmtId="166" formatCode="_(* #,##0_);_(* \(#,##0\);_(* &quot;-&quot;??_);_(@_)"/>
    <numFmt numFmtId="167" formatCode="_(&quot;$&quot;* #,##0_);[Red]_(&quot;$&quot;* \(#,##0\);_(&quot;$&quot;* &quot;-&quot;_);_(@_)"/>
    <numFmt numFmtId="168" formatCode="#,##0;\(#,##0\)"/>
    <numFmt numFmtId="169" formatCode="0.0%"/>
    <numFmt numFmtId="170" formatCode="&quot;Adj.&quot;\ 0.00"/>
    <numFmt numFmtId="171" formatCode="_(* #,##0.000000_);_(* \(#,##0.000000\);_(* &quot;-&quot;??????_);_(@_)"/>
    <numFmt numFmtId="172" formatCode="0.00000"/>
    <numFmt numFmtId="173" formatCode="0.00000%"/>
    <numFmt numFmtId="174" formatCode="0.0000%"/>
    <numFmt numFmtId="175" formatCode="yyyy"/>
    <numFmt numFmtId="176" formatCode="0.0000000%"/>
    <numFmt numFmtId="177" formatCode="#,##0.00\ ;\(#,##0.00\)"/>
    <numFmt numFmtId="178" formatCode="_(* #,##0_);[Red]_(* \(#,##0\);_(* &quot;-&quot;_);_(@_)"/>
    <numFmt numFmtId="179" formatCode="0.000%"/>
    <numFmt numFmtId="180" formatCode="&quot;PAGE&quot;\ 0.00"/>
    <numFmt numFmtId="181" formatCode="#,##0.0000000;\(#,##0.0000000\)"/>
    <numFmt numFmtId="182" formatCode="#,##0.0000000_);\(#,##0.0000000\)"/>
  </numFmts>
  <fonts count="44">
    <font>
      <sz val="8"/>
      <name val="Helv"/>
    </font>
    <font>
      <sz val="8"/>
      <name val="Helv"/>
    </font>
    <font>
      <sz val="10"/>
      <name val="Times New Roman"/>
      <family val="1"/>
    </font>
    <font>
      <sz val="8"/>
      <name val="Times New Roman"/>
      <family val="1"/>
    </font>
    <font>
      <b/>
      <sz val="10"/>
      <name val="Times New Roman"/>
      <family val="1"/>
    </font>
    <font>
      <b/>
      <sz val="8"/>
      <name val="Times New Roman"/>
      <family val="1"/>
    </font>
    <font>
      <sz val="11"/>
      <color theme="1"/>
      <name val="Calibri"/>
      <family val="2"/>
      <scheme val="minor"/>
    </font>
    <font>
      <b/>
      <i/>
      <sz val="10"/>
      <name val="Times New Roman"/>
      <family val="1"/>
    </font>
    <font>
      <sz val="10"/>
      <name val="Arial"/>
      <family val="2"/>
    </font>
    <font>
      <i/>
      <sz val="10"/>
      <name val="Times New Roman"/>
      <family val="1"/>
    </font>
    <font>
      <b/>
      <i/>
      <sz val="8"/>
      <name val="Times New Roman"/>
      <family val="1"/>
    </font>
    <font>
      <b/>
      <u/>
      <sz val="10"/>
      <name val="Times New Roman"/>
      <family val="1"/>
    </font>
    <font>
      <u/>
      <sz val="10"/>
      <name val="Times New Roman"/>
      <family val="1"/>
    </font>
    <font>
      <sz val="10"/>
      <name val="Geneva"/>
    </font>
    <font>
      <b/>
      <sz val="8"/>
      <name val="Helv"/>
    </font>
    <font>
      <sz val="8.8000000000000007"/>
      <name val="Symbol"/>
      <family val="1"/>
      <charset val="2"/>
    </font>
    <font>
      <sz val="11"/>
      <name val="Times New Roman"/>
      <family val="1"/>
    </font>
    <font>
      <b/>
      <sz val="12"/>
      <name val="Times New Roman"/>
      <family val="1"/>
    </font>
    <font>
      <sz val="12"/>
      <name val="Times New Roman"/>
      <family val="1"/>
    </font>
    <font>
      <sz val="10"/>
      <name val="Calibri"/>
      <family val="2"/>
      <scheme val="minor"/>
    </font>
    <font>
      <sz val="10"/>
      <name val="Helv"/>
    </font>
    <font>
      <b/>
      <u/>
      <sz val="11"/>
      <name val="Times New Roman"/>
      <family val="1"/>
    </font>
    <font>
      <b/>
      <i/>
      <u/>
      <sz val="10"/>
      <name val="Times New Roman"/>
      <family val="1"/>
    </font>
    <font>
      <b/>
      <i/>
      <sz val="10"/>
      <name val="Arial"/>
      <family val="2"/>
    </font>
    <font>
      <i/>
      <u/>
      <sz val="10"/>
      <name val="Times New Roman"/>
      <family val="1"/>
    </font>
    <font>
      <b/>
      <sz val="9"/>
      <name val="Times New Roman"/>
      <family val="1"/>
    </font>
    <font>
      <b/>
      <u/>
      <sz val="8"/>
      <name val="Times New Roman"/>
      <family val="1"/>
    </font>
    <font>
      <sz val="12"/>
      <color theme="1"/>
      <name val="Times New Roman"/>
      <family val="1"/>
    </font>
    <font>
      <sz val="11"/>
      <name val="univers (E1)"/>
    </font>
    <font>
      <b/>
      <sz val="12"/>
      <color rgb="FFFF0000"/>
      <name val="Times New Roman"/>
      <family val="1"/>
    </font>
    <font>
      <b/>
      <sz val="9"/>
      <color theme="1"/>
      <name val="Times New Roman"/>
      <family val="1"/>
    </font>
    <font>
      <b/>
      <sz val="12"/>
      <color theme="1"/>
      <name val="Times New Roman"/>
      <family val="1"/>
    </font>
    <font>
      <b/>
      <u/>
      <sz val="12"/>
      <color theme="1"/>
      <name val="Times New Roman"/>
      <family val="1"/>
    </font>
    <font>
      <sz val="7"/>
      <name val="Times New Roman"/>
      <family val="1"/>
    </font>
    <font>
      <sz val="14"/>
      <color theme="1"/>
      <name val="Times New Roman"/>
      <family val="1"/>
    </font>
    <font>
      <b/>
      <sz val="14"/>
      <color theme="1"/>
      <name val="Times New Roman"/>
      <family val="1"/>
    </font>
    <font>
      <u/>
      <sz val="12"/>
      <name val="Times New Roman"/>
      <family val="1"/>
    </font>
    <font>
      <b/>
      <sz val="14"/>
      <name val="Times New Roman"/>
      <family val="1"/>
    </font>
    <font>
      <b/>
      <i/>
      <sz val="10"/>
      <color rgb="FF0000FF"/>
      <name val="Times New Roman"/>
      <family val="1"/>
    </font>
    <font>
      <sz val="10"/>
      <color indexed="8"/>
      <name val="Times New Roman"/>
      <family val="1"/>
    </font>
    <font>
      <sz val="10"/>
      <color rgb="FF0000FF"/>
      <name val="Times New Roman"/>
      <family val="1"/>
    </font>
    <font>
      <b/>
      <sz val="10"/>
      <color rgb="FFFF0066"/>
      <name val="Times New Roman"/>
      <family val="1"/>
    </font>
    <font>
      <b/>
      <i/>
      <sz val="10"/>
      <color rgb="FFFF0000"/>
      <name val="Times New Roman"/>
      <family val="1"/>
    </font>
    <font>
      <b/>
      <sz val="14"/>
      <color rgb="FF7A0000"/>
      <name val="Times New Roman"/>
      <family val="1"/>
    </font>
  </fonts>
  <fills count="4">
    <fill>
      <patternFill patternType="none"/>
    </fill>
    <fill>
      <patternFill patternType="gray125"/>
    </fill>
    <fill>
      <patternFill patternType="solid">
        <fgColor theme="9"/>
        <bgColor indexed="64"/>
      </patternFill>
    </fill>
    <fill>
      <patternFill patternType="solid">
        <fgColor theme="5"/>
        <bgColor indexed="64"/>
      </patternFill>
    </fill>
  </fills>
  <borders count="5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auto="1"/>
      </left>
      <right/>
      <top style="thin">
        <color auto="1"/>
      </top>
      <bottom/>
      <diagonal/>
    </border>
    <border>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right/>
      <top style="medium">
        <color auto="1"/>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28">
    <xf numFmtId="164" fontId="0" fillId="0" borderId="0">
      <alignment horizontal="left" wrapText="1"/>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6" fillId="0" borderId="0" applyFont="0" applyFill="0" applyBorder="0" applyAlignment="0" applyProtection="0"/>
    <xf numFmtId="0" fontId="8" fillId="0" borderId="0"/>
    <xf numFmtId="43" fontId="6" fillId="0" borderId="0" applyFont="0" applyFill="0" applyBorder="0" applyAlignment="0" applyProtection="0"/>
    <xf numFmtId="164" fontId="1" fillId="0" borderId="0">
      <alignment horizontal="left" wrapText="1"/>
    </xf>
    <xf numFmtId="44" fontId="8" fillId="0" borderId="0" applyFont="0" applyFill="0" applyBorder="0" applyAlignment="0" applyProtection="0"/>
    <xf numFmtId="0" fontId="8" fillId="0" borderId="0"/>
    <xf numFmtId="0" fontId="13" fillId="0" borderId="0"/>
    <xf numFmtId="0" fontId="8" fillId="0" borderId="0"/>
    <xf numFmtId="164" fontId="8" fillId="0" borderId="0">
      <alignment horizontal="left" wrapText="1"/>
    </xf>
    <xf numFmtId="164" fontId="8" fillId="0" borderId="0">
      <alignment horizontal="left" wrapText="1"/>
    </xf>
    <xf numFmtId="0" fontId="8" fillId="0" borderId="0"/>
    <xf numFmtId="44" fontId="6" fillId="0" borderId="0" applyFon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0" fontId="8" fillId="0" borderId="0"/>
    <xf numFmtId="9" fontId="2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 fontId="28" fillId="0" borderId="0" applyFont="0" applyFill="0" applyBorder="0" applyAlignment="0" applyProtection="0"/>
    <xf numFmtId="9"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46">
    <xf numFmtId="164" fontId="0" fillId="0" borderId="0" xfId="0">
      <alignment horizontal="left" wrapText="1"/>
    </xf>
    <xf numFmtId="0" fontId="2" fillId="0" borderId="0" xfId="0" applyNumberFormat="1" applyFont="1" applyAlignment="1"/>
    <xf numFmtId="0" fontId="3" fillId="0" borderId="0" xfId="0" applyNumberFormat="1" applyFont="1" applyAlignment="1"/>
    <xf numFmtId="0" fontId="2" fillId="0" borderId="0" xfId="0" applyNumberFormat="1" applyFont="1" applyFill="1" applyAlignment="1"/>
    <xf numFmtId="0" fontId="2" fillId="0" borderId="0" xfId="0" applyNumberFormat="1" applyFont="1" applyFill="1" applyBorder="1" applyAlignment="1"/>
    <xf numFmtId="49" fontId="2" fillId="0" borderId="0" xfId="0" applyNumberFormat="1" applyFont="1" applyFill="1" applyAlignment="1"/>
    <xf numFmtId="165" fontId="3" fillId="0" borderId="0" xfId="0" applyNumberFormat="1" applyFont="1" applyAlignment="1"/>
    <xf numFmtId="166" fontId="3" fillId="0" borderId="0" xfId="0" applyNumberFormat="1" applyFont="1" applyAlignment="1"/>
    <xf numFmtId="0" fontId="3" fillId="0" borderId="0" xfId="0" applyNumberFormat="1" applyFont="1" applyAlignment="1">
      <alignment horizontal="right"/>
    </xf>
    <xf numFmtId="0" fontId="2" fillId="0" borderId="0" xfId="0" applyNumberFormat="1" applyFont="1" applyFill="1" applyAlignment="1">
      <alignment horizontal="center"/>
    </xf>
    <xf numFmtId="166" fontId="3" fillId="0" borderId="0" xfId="1" applyNumberFormat="1" applyFont="1" applyAlignment="1"/>
    <xf numFmtId="42" fontId="4" fillId="0" borderId="0" xfId="0" applyNumberFormat="1" applyFont="1" applyFill="1" applyBorder="1" applyAlignment="1" applyProtection="1">
      <alignment horizontal="center"/>
      <protection locked="0"/>
    </xf>
    <xf numFmtId="0" fontId="4" fillId="0" borderId="0" xfId="0" applyNumberFormat="1" applyFont="1" applyFill="1" applyAlignment="1">
      <alignment horizontal="right"/>
    </xf>
    <xf numFmtId="42" fontId="4" fillId="0" borderId="1" xfId="0" applyNumberFormat="1" applyFont="1" applyFill="1" applyBorder="1" applyAlignment="1" applyProtection="1">
      <alignment horizontal="center"/>
      <protection locked="0"/>
    </xf>
    <xf numFmtId="166" fontId="2" fillId="0" borderId="0" xfId="1" applyNumberFormat="1" applyFont="1" applyAlignment="1"/>
    <xf numFmtId="165" fontId="4" fillId="0" borderId="2" xfId="2" applyNumberFormat="1" applyFont="1" applyFill="1" applyBorder="1" applyAlignment="1"/>
    <xf numFmtId="0" fontId="5" fillId="0" borderId="0" xfId="0" applyNumberFormat="1" applyFont="1" applyAlignment="1"/>
    <xf numFmtId="0" fontId="3" fillId="0" borderId="0" xfId="0" applyNumberFormat="1" applyFont="1" applyBorder="1" applyAlignment="1"/>
    <xf numFmtId="6" fontId="2" fillId="0" borderId="0" xfId="0" applyNumberFormat="1" applyFont="1" applyFill="1" applyBorder="1" applyAlignment="1"/>
    <xf numFmtId="42" fontId="2" fillId="0" borderId="0" xfId="0" applyNumberFormat="1" applyFont="1" applyFill="1" applyAlignment="1"/>
    <xf numFmtId="0" fontId="4" fillId="0" borderId="0" xfId="0" applyNumberFormat="1" applyFont="1" applyAlignment="1"/>
    <xf numFmtId="42" fontId="2" fillId="0" borderId="0" xfId="0" applyNumberFormat="1" applyFont="1" applyAlignment="1"/>
    <xf numFmtId="0" fontId="2" fillId="0" borderId="0" xfId="0" applyNumberFormat="1" applyFont="1" applyBorder="1" applyAlignment="1"/>
    <xf numFmtId="37" fontId="4" fillId="0" borderId="0" xfId="0" applyNumberFormat="1" applyFont="1" applyFill="1" applyAlignment="1">
      <alignment horizontal="right"/>
    </xf>
    <xf numFmtId="165" fontId="4" fillId="0" borderId="0" xfId="2" applyNumberFormat="1" applyFont="1" applyAlignment="1"/>
    <xf numFmtId="0" fontId="4" fillId="0" borderId="0" xfId="0" applyNumberFormat="1" applyFont="1" applyFill="1" applyAlignment="1"/>
    <xf numFmtId="0" fontId="4" fillId="0" borderId="0" xfId="0" applyNumberFormat="1" applyFont="1" applyFill="1" applyAlignment="1">
      <alignment horizontal="center"/>
    </xf>
    <xf numFmtId="0" fontId="4" fillId="0" borderId="0" xfId="0" applyNumberFormat="1" applyFont="1" applyBorder="1" applyAlignment="1"/>
    <xf numFmtId="37" fontId="2" fillId="0" borderId="0" xfId="0" applyNumberFormat="1" applyFont="1" applyFill="1" applyAlignment="1">
      <alignment horizontal="right"/>
    </xf>
    <xf numFmtId="164" fontId="4" fillId="0" borderId="0" xfId="0" applyFont="1" applyFill="1" applyBorder="1" applyAlignment="1"/>
    <xf numFmtId="10" fontId="4" fillId="0" borderId="0" xfId="3" applyNumberFormat="1" applyFont="1" applyFill="1" applyBorder="1" applyAlignment="1"/>
    <xf numFmtId="42" fontId="4" fillId="0" borderId="0" xfId="0" applyNumberFormat="1" applyFont="1" applyFill="1" applyBorder="1" applyAlignment="1" applyProtection="1">
      <protection locked="0"/>
    </xf>
    <xf numFmtId="42" fontId="2" fillId="0" borderId="0" xfId="0" applyNumberFormat="1" applyFont="1" applyFill="1" applyBorder="1" applyAlignment="1" applyProtection="1">
      <protection locked="0"/>
    </xf>
    <xf numFmtId="42" fontId="2" fillId="0" borderId="3" xfId="0" applyNumberFormat="1" applyFont="1" applyFill="1" applyBorder="1" applyAlignment="1" applyProtection="1">
      <protection locked="0"/>
    </xf>
    <xf numFmtId="42" fontId="4" fillId="0" borderId="3" xfId="0" applyNumberFormat="1" applyFont="1" applyFill="1" applyBorder="1" applyAlignment="1" applyProtection="1">
      <protection locked="0"/>
    </xf>
    <xf numFmtId="41" fontId="2" fillId="0" borderId="0" xfId="0" applyNumberFormat="1" applyFont="1" applyFill="1" applyBorder="1" applyAlignment="1" applyProtection="1">
      <protection locked="0"/>
    </xf>
    <xf numFmtId="41" fontId="2" fillId="0" borderId="0" xfId="0" applyNumberFormat="1" applyFont="1" applyFill="1" applyAlignment="1" applyProtection="1">
      <protection locked="0"/>
    </xf>
    <xf numFmtId="166" fontId="2" fillId="0" borderId="0" xfId="1" applyNumberFormat="1" applyFont="1" applyFill="1" applyAlignment="1"/>
    <xf numFmtId="41" fontId="4" fillId="0" borderId="0" xfId="0" applyNumberFormat="1" applyFont="1" applyFill="1" applyBorder="1" applyAlignment="1" applyProtection="1">
      <protection locked="0"/>
    </xf>
    <xf numFmtId="41" fontId="4" fillId="0" borderId="0" xfId="0" applyNumberFormat="1" applyFont="1" applyFill="1" applyAlignment="1" applyProtection="1">
      <protection locked="0"/>
    </xf>
    <xf numFmtId="167" fontId="2" fillId="0" borderId="0" xfId="0" applyNumberFormat="1" applyFont="1" applyFill="1" applyAlignment="1" applyProtection="1">
      <alignment horizontal="left"/>
    </xf>
    <xf numFmtId="166" fontId="2" fillId="0" borderId="0" xfId="0" applyNumberFormat="1" applyFont="1" applyFill="1" applyBorder="1" applyAlignment="1"/>
    <xf numFmtId="166" fontId="2" fillId="0" borderId="0" xfId="0" applyNumberFormat="1" applyFont="1" applyFill="1" applyAlignment="1"/>
    <xf numFmtId="165" fontId="2" fillId="0" borderId="0" xfId="2" applyNumberFormat="1" applyFont="1" applyFill="1" applyAlignment="1"/>
    <xf numFmtId="42" fontId="2" fillId="0" borderId="0" xfId="0" applyNumberFormat="1" applyFont="1" applyFill="1" applyAlignment="1" applyProtection="1">
      <protection locked="0"/>
    </xf>
    <xf numFmtId="10" fontId="4" fillId="0" borderId="0" xfId="0" applyNumberFormat="1" applyFont="1" applyFill="1" applyBorder="1" applyAlignment="1" applyProtection="1">
      <protection locked="0"/>
    </xf>
    <xf numFmtId="10" fontId="2" fillId="0" borderId="0" xfId="0" applyNumberFormat="1" applyFont="1" applyFill="1" applyBorder="1" applyAlignment="1" applyProtection="1">
      <protection locked="0"/>
    </xf>
    <xf numFmtId="10" fontId="2" fillId="0" borderId="0" xfId="0" applyNumberFormat="1" applyFont="1" applyFill="1" applyAlignment="1"/>
    <xf numFmtId="10" fontId="2" fillId="0" borderId="0" xfId="0" applyNumberFormat="1" applyFont="1" applyFill="1" applyAlignment="1" applyProtection="1">
      <protection locked="0"/>
    </xf>
    <xf numFmtId="0" fontId="2" fillId="0" borderId="0" xfId="0" applyNumberFormat="1" applyFont="1" applyFill="1" applyAlignment="1">
      <alignment horizontal="left"/>
    </xf>
    <xf numFmtId="166" fontId="4" fillId="0" borderId="0" xfId="0" applyNumberFormat="1" applyFont="1" applyFill="1" applyBorder="1" applyAlignment="1"/>
    <xf numFmtId="42" fontId="4" fillId="0" borderId="0" xfId="0" applyNumberFormat="1" applyFont="1" applyFill="1" applyAlignment="1"/>
    <xf numFmtId="166" fontId="4" fillId="0" borderId="0" xfId="0" applyNumberFormat="1" applyFont="1" applyFill="1" applyAlignment="1"/>
    <xf numFmtId="165" fontId="4" fillId="0" borderId="0" xfId="2" applyNumberFormat="1" applyFont="1" applyFill="1" applyAlignment="1"/>
    <xf numFmtId="0" fontId="4" fillId="0" borderId="0" xfId="0" applyNumberFormat="1" applyFont="1" applyFill="1" applyAlignment="1">
      <alignment horizontal="left"/>
    </xf>
    <xf numFmtId="42" fontId="2" fillId="0" borderId="0" xfId="0" applyNumberFormat="1" applyFont="1" applyFill="1" applyAlignment="1">
      <alignment horizontal="left"/>
    </xf>
    <xf numFmtId="9" fontId="3" fillId="0" borderId="0" xfId="3" applyFont="1" applyAlignment="1"/>
    <xf numFmtId="165" fontId="7" fillId="0" borderId="0" xfId="4" applyNumberFormat="1" applyFont="1" applyFill="1" applyAlignment="1"/>
    <xf numFmtId="42" fontId="5" fillId="0" borderId="0" xfId="0" applyNumberFormat="1" applyFont="1" applyAlignment="1"/>
    <xf numFmtId="42" fontId="4" fillId="0" borderId="0" xfId="0" applyNumberFormat="1" applyFont="1" applyFill="1" applyAlignment="1" applyProtection="1">
      <protection locked="0"/>
    </xf>
    <xf numFmtId="42" fontId="2" fillId="0" borderId="0" xfId="5" applyNumberFormat="1" applyFont="1" applyFill="1" applyAlignment="1"/>
    <xf numFmtId="42" fontId="2" fillId="2" borderId="0" xfId="0" applyNumberFormat="1" applyFont="1" applyFill="1" applyAlignment="1"/>
    <xf numFmtId="41" fontId="7" fillId="0" borderId="4" xfId="5" applyNumberFormat="1" applyFont="1" applyFill="1" applyBorder="1" applyAlignment="1" applyProtection="1">
      <protection locked="0"/>
    </xf>
    <xf numFmtId="41" fontId="3" fillId="0" borderId="0" xfId="0" applyNumberFormat="1" applyFont="1" applyAlignment="1"/>
    <xf numFmtId="42" fontId="2" fillId="0" borderId="0" xfId="0" applyNumberFormat="1" applyFont="1" applyFill="1" applyBorder="1" applyAlignment="1"/>
    <xf numFmtId="166" fontId="2" fillId="0" borderId="4" xfId="0" applyNumberFormat="1" applyFont="1" applyFill="1" applyBorder="1" applyAlignment="1"/>
    <xf numFmtId="41" fontId="2" fillId="0" borderId="4" xfId="0" applyNumberFormat="1" applyFont="1" applyFill="1" applyBorder="1" applyAlignment="1" applyProtection="1">
      <protection locked="0"/>
    </xf>
    <xf numFmtId="166" fontId="7" fillId="0" borderId="0" xfId="6" applyNumberFormat="1" applyFont="1" applyFill="1" applyAlignment="1" applyProtection="1">
      <protection locked="0"/>
    </xf>
    <xf numFmtId="41" fontId="2" fillId="0" borderId="5" xfId="5" applyNumberFormat="1" applyFont="1" applyFill="1" applyBorder="1" applyAlignment="1" applyProtection="1">
      <protection locked="0"/>
    </xf>
    <xf numFmtId="41" fontId="2" fillId="0" borderId="5" xfId="0" applyNumberFormat="1" applyFont="1" applyFill="1" applyBorder="1" applyAlignment="1" applyProtection="1">
      <protection locked="0"/>
    </xf>
    <xf numFmtId="166" fontId="7" fillId="0" borderId="0" xfId="5" applyNumberFormat="1" applyFont="1" applyFill="1" applyBorder="1" applyAlignment="1" applyProtection="1">
      <protection locked="0"/>
    </xf>
    <xf numFmtId="41" fontId="2" fillId="0" borderId="0" xfId="0" applyNumberFormat="1" applyFont="1" applyFill="1" applyAlignment="1"/>
    <xf numFmtId="41" fontId="2" fillId="0" borderId="0" xfId="5" applyNumberFormat="1" applyFont="1" applyFill="1" applyBorder="1" applyAlignment="1" applyProtection="1">
      <protection locked="0"/>
    </xf>
    <xf numFmtId="41" fontId="7" fillId="0" borderId="0" xfId="5" applyNumberFormat="1" applyFont="1" applyFill="1" applyBorder="1" applyAlignment="1" applyProtection="1">
      <protection locked="0"/>
    </xf>
    <xf numFmtId="0" fontId="2" fillId="0" borderId="0" xfId="0" quotePrefix="1" applyNumberFormat="1" applyFont="1" applyFill="1" applyAlignment="1">
      <alignment horizontal="left"/>
    </xf>
    <xf numFmtId="166" fontId="2" fillId="0" borderId="0" xfId="5" applyNumberFormat="1" applyFont="1" applyFill="1" applyBorder="1" applyAlignment="1" applyProtection="1">
      <protection locked="0"/>
    </xf>
    <xf numFmtId="37" fontId="2" fillId="0" borderId="0" xfId="0" applyNumberFormat="1" applyFont="1" applyFill="1" applyAlignment="1" applyProtection="1">
      <protection locked="0"/>
    </xf>
    <xf numFmtId="166" fontId="2" fillId="0" borderId="0" xfId="5" applyNumberFormat="1" applyFont="1" applyFill="1" applyAlignment="1"/>
    <xf numFmtId="0" fontId="3" fillId="0" borderId="0" xfId="0" applyNumberFormat="1" applyFont="1" applyFill="1" applyAlignment="1"/>
    <xf numFmtId="37" fontId="2" fillId="0" borderId="0" xfId="0" applyNumberFormat="1" applyFont="1" applyFill="1" applyAlignment="1"/>
    <xf numFmtId="166" fontId="7" fillId="0" borderId="0" xfId="5" applyNumberFormat="1" applyFont="1" applyFill="1" applyAlignment="1"/>
    <xf numFmtId="168" fontId="2" fillId="0" borderId="0" xfId="0" applyNumberFormat="1" applyFont="1" applyFill="1" applyAlignment="1"/>
    <xf numFmtId="166" fontId="2" fillId="0" borderId="5" xfId="5" applyNumberFormat="1" applyFont="1" applyFill="1" applyBorder="1" applyAlignment="1"/>
    <xf numFmtId="166" fontId="2" fillId="0" borderId="5" xfId="0" applyNumberFormat="1" applyFont="1" applyFill="1" applyBorder="1" applyAlignment="1"/>
    <xf numFmtId="168" fontId="2" fillId="0" borderId="0" xfId="0" applyNumberFormat="1" applyFont="1" applyFill="1" applyAlignment="1" applyProtection="1">
      <protection locked="0"/>
    </xf>
    <xf numFmtId="166" fontId="7" fillId="0" borderId="0" xfId="5" applyNumberFormat="1" applyFont="1" applyFill="1" applyBorder="1" applyAlignment="1"/>
    <xf numFmtId="42" fontId="7" fillId="0" borderId="0" xfId="5" applyNumberFormat="1" applyFont="1" applyFill="1" applyAlignment="1" applyProtection="1">
      <protection locked="0"/>
    </xf>
    <xf numFmtId="0" fontId="2" fillId="0" borderId="5" xfId="0" applyNumberFormat="1" applyFont="1" applyFill="1" applyBorder="1" applyAlignment="1">
      <alignment horizontal="center"/>
    </xf>
    <xf numFmtId="0" fontId="2" fillId="0" borderId="0" xfId="0" applyNumberFormat="1" applyFont="1" applyFill="1" applyAlignment="1">
      <alignment horizontal="fill"/>
    </xf>
    <xf numFmtId="0" fontId="2" fillId="0" borderId="0" xfId="0" applyNumberFormat="1" applyFont="1" applyFill="1" applyAlignment="1" applyProtection="1">
      <protection locked="0"/>
    </xf>
    <xf numFmtId="0" fontId="2" fillId="0" borderId="0" xfId="0" applyNumberFormat="1" applyFont="1" applyFill="1" applyAlignment="1" applyProtection="1">
      <alignment horizontal="fill"/>
      <protection locked="0"/>
    </xf>
    <xf numFmtId="49" fontId="2" fillId="0" borderId="0" xfId="0" applyNumberFormat="1" applyFont="1" applyFill="1" applyAlignment="1">
      <alignment horizontal="fill"/>
    </xf>
    <xf numFmtId="0" fontId="4" fillId="0" borderId="0" xfId="7" applyNumberFormat="1" applyFont="1" applyFill="1" applyBorder="1" applyAlignment="1">
      <alignment horizontal="center"/>
    </xf>
    <xf numFmtId="0" fontId="4" fillId="0" borderId="0" xfId="0" applyNumberFormat="1" applyFont="1" applyFill="1" applyBorder="1" applyAlignment="1">
      <alignment horizontal="center"/>
    </xf>
    <xf numFmtId="2" fontId="4" fillId="0" borderId="0" xfId="0" applyNumberFormat="1" applyFont="1" applyFill="1" applyAlignment="1" applyProtection="1">
      <alignment horizontal="center"/>
      <protection locked="0"/>
    </xf>
    <xf numFmtId="49" fontId="4" fillId="0" borderId="0" xfId="0" applyNumberFormat="1" applyFont="1" applyFill="1" applyAlignment="1">
      <alignment horizontal="center"/>
    </xf>
    <xf numFmtId="0" fontId="4" fillId="0" borderId="0" xfId="0" applyNumberFormat="1" applyFont="1" applyFill="1" applyAlignment="1">
      <alignment horizontal="center" vertical="center" wrapText="1"/>
    </xf>
    <xf numFmtId="0" fontId="4" fillId="0" borderId="0" xfId="0" applyNumberFormat="1" applyFont="1" applyFill="1" applyAlignment="1">
      <alignment horizontal="center" wrapText="1"/>
    </xf>
    <xf numFmtId="0" fontId="4" fillId="0" borderId="0" xfId="0" quotePrefix="1" applyNumberFormat="1" applyFont="1" applyFill="1" applyAlignment="1">
      <alignment horizontal="center"/>
    </xf>
    <xf numFmtId="49" fontId="4" fillId="0" borderId="0" xfId="0" applyNumberFormat="1" applyFont="1" applyFill="1" applyAlignment="1"/>
    <xf numFmtId="0" fontId="9" fillId="0" borderId="0" xfId="0" applyNumberFormat="1" applyFont="1" applyAlignment="1"/>
    <xf numFmtId="0" fontId="7" fillId="0" borderId="0" xfId="0" applyNumberFormat="1" applyFont="1" applyAlignment="1">
      <alignment horizontal="center" vertical="center"/>
    </xf>
    <xf numFmtId="0" fontId="7" fillId="0" borderId="0" xfId="0" applyNumberFormat="1" applyFont="1" applyAlignment="1">
      <alignment horizontal="center"/>
    </xf>
    <xf numFmtId="0" fontId="7" fillId="0" borderId="0" xfId="0" applyNumberFormat="1" applyFont="1" applyFill="1" applyAlignment="1"/>
    <xf numFmtId="0" fontId="7" fillId="0" borderId="0" xfId="0" applyNumberFormat="1" applyFont="1" applyFill="1" applyAlignment="1">
      <alignment horizontal="center"/>
    </xf>
    <xf numFmtId="0" fontId="7" fillId="0" borderId="0" xfId="0" applyNumberFormat="1" applyFont="1" applyFill="1" applyAlignment="1">
      <alignment horizontal="fill"/>
    </xf>
    <xf numFmtId="164" fontId="7" fillId="0" borderId="0" xfId="0" applyFont="1" applyFill="1" applyBorder="1" applyAlignment="1"/>
    <xf numFmtId="49" fontId="7" fillId="0" borderId="0" xfId="0" applyNumberFormat="1" applyFont="1" applyFill="1" applyAlignment="1"/>
    <xf numFmtId="0" fontId="10" fillId="0" borderId="0" xfId="0" applyNumberFormat="1" applyFont="1" applyAlignment="1">
      <alignment horizontal="center" vertical="center"/>
    </xf>
    <xf numFmtId="0" fontId="7" fillId="0" borderId="0" xfId="0" applyNumberFormat="1" applyFont="1" applyFill="1" applyAlignment="1">
      <alignment horizontal="center" vertical="center"/>
    </xf>
    <xf numFmtId="0" fontId="7" fillId="0" borderId="0" xfId="0" quotePrefix="1" applyNumberFormat="1" applyFont="1" applyFill="1" applyAlignment="1">
      <alignment horizontal="center" vertical="center"/>
    </xf>
    <xf numFmtId="49" fontId="7" fillId="0" borderId="0" xfId="0" applyNumberFormat="1" applyFont="1" applyFill="1" applyAlignment="1">
      <alignment horizontal="center" vertical="center"/>
    </xf>
    <xf numFmtId="0" fontId="4" fillId="0" borderId="0" xfId="0" applyNumberFormat="1" applyFont="1" applyFill="1" applyAlignment="1">
      <alignment horizontal="fill"/>
    </xf>
    <xf numFmtId="0" fontId="4" fillId="0" borderId="0" xfId="0" quotePrefix="1" applyNumberFormat="1" applyFont="1" applyFill="1" applyAlignment="1">
      <alignment horizontal="fill"/>
    </xf>
    <xf numFmtId="0" fontId="4" fillId="0" borderId="0" xfId="0" applyNumberFormat="1" applyFont="1" applyFill="1" applyAlignment="1">
      <alignment horizontal="centerContinuous"/>
    </xf>
    <xf numFmtId="0" fontId="4" fillId="0" borderId="0" xfId="0" quotePrefix="1" applyNumberFormat="1" applyFont="1" applyFill="1" applyAlignment="1">
      <alignment horizontal="centerContinuous" vertical="center"/>
    </xf>
    <xf numFmtId="0" fontId="4" fillId="0" borderId="0" xfId="0" applyNumberFormat="1" applyFont="1" applyFill="1" applyBorder="1" applyAlignment="1"/>
    <xf numFmtId="170" fontId="4" fillId="0" borderId="0" xfId="0" applyNumberFormat="1" applyFont="1" applyFill="1" applyBorder="1" applyAlignment="1">
      <alignment horizontal="center"/>
    </xf>
    <xf numFmtId="0" fontId="4" fillId="0" borderId="0" xfId="0" applyNumberFormat="1" applyFont="1" applyBorder="1" applyAlignment="1">
      <alignment horizontal="right"/>
    </xf>
    <xf numFmtId="0" fontId="4" fillId="0" borderId="0" xfId="0" applyNumberFormat="1" applyFont="1" applyFill="1" applyBorder="1" applyAlignment="1">
      <alignment horizontal="right"/>
    </xf>
    <xf numFmtId="0" fontId="4" fillId="0" borderId="0" xfId="0" quotePrefix="1" applyNumberFormat="1" applyFont="1" applyFill="1" applyAlignment="1">
      <alignment horizontal="left"/>
    </xf>
    <xf numFmtId="0" fontId="0" fillId="0" borderId="0" xfId="0" applyNumberFormat="1" applyFont="1" applyAlignment="1"/>
    <xf numFmtId="41" fontId="2" fillId="0" borderId="0" xfId="0" applyNumberFormat="1" applyFont="1" applyFill="1" applyBorder="1" applyAlignment="1"/>
    <xf numFmtId="0" fontId="0" fillId="0" borderId="0" xfId="0" applyNumberFormat="1" applyFont="1" applyFill="1" applyAlignment="1"/>
    <xf numFmtId="0" fontId="2" fillId="0" borderId="0" xfId="0" applyNumberFormat="1" applyFont="1" applyFill="1" applyAlignment="1" applyProtection="1">
      <alignment horizontal="center"/>
      <protection locked="0"/>
    </xf>
    <xf numFmtId="166" fontId="0" fillId="0" borderId="0" xfId="1" applyNumberFormat="1" applyFont="1" applyAlignment="1"/>
    <xf numFmtId="0" fontId="0" fillId="0" borderId="0" xfId="0" applyNumberFormat="1" applyFont="1" applyAlignment="1">
      <alignment horizontal="right"/>
    </xf>
    <xf numFmtId="42" fontId="0" fillId="0" borderId="0" xfId="0" applyNumberFormat="1" applyFont="1" applyAlignment="1"/>
    <xf numFmtId="165" fontId="0" fillId="0" borderId="0" xfId="0" applyNumberFormat="1" applyFont="1" applyAlignment="1"/>
    <xf numFmtId="164" fontId="2" fillId="0" borderId="0" xfId="0" applyFont="1" applyFill="1" applyAlignment="1">
      <alignment horizontal="left"/>
    </xf>
    <xf numFmtId="165" fontId="2" fillId="0" borderId="3" xfId="0" applyNumberFormat="1" applyFont="1" applyBorder="1" applyAlignment="1"/>
    <xf numFmtId="9" fontId="2" fillId="0" borderId="0" xfId="0" applyNumberFormat="1" applyFont="1" applyFill="1" applyAlignment="1">
      <alignment horizontal="right"/>
    </xf>
    <xf numFmtId="42" fontId="2" fillId="0" borderId="3" xfId="0" applyNumberFormat="1" applyFont="1" applyFill="1" applyBorder="1" applyAlignment="1"/>
    <xf numFmtId="41" fontId="2" fillId="0" borderId="0" xfId="0" applyNumberFormat="1" applyFont="1" applyAlignment="1"/>
    <xf numFmtId="165" fontId="2" fillId="0" borderId="3" xfId="0" applyNumberFormat="1" applyFont="1" applyFill="1" applyBorder="1" applyAlignment="1"/>
    <xf numFmtId="164" fontId="2" fillId="0" borderId="0" xfId="0" applyNumberFormat="1" applyFont="1" applyFill="1" applyBorder="1" applyAlignment="1">
      <alignment horizontal="left" wrapText="1"/>
    </xf>
    <xf numFmtId="41" fontId="2" fillId="0" borderId="5" xfId="0" applyNumberFormat="1" applyFont="1" applyFill="1" applyBorder="1" applyAlignment="1"/>
    <xf numFmtId="37" fontId="2" fillId="0" borderId="0" xfId="0" applyNumberFormat="1" applyFont="1" applyFill="1" applyBorder="1" applyAlignment="1"/>
    <xf numFmtId="9" fontId="2" fillId="0" borderId="0" xfId="0" applyNumberFormat="1" applyFont="1" applyFill="1" applyBorder="1" applyAlignment="1">
      <alignment horizontal="right" wrapText="1"/>
    </xf>
    <xf numFmtId="171" fontId="2" fillId="0" borderId="0" xfId="0" applyNumberFormat="1" applyFont="1" applyFill="1" applyAlignment="1"/>
    <xf numFmtId="168" fontId="2" fillId="0" borderId="0" xfId="0" applyNumberFormat="1" applyFont="1" applyFill="1" applyBorder="1" applyAlignment="1">
      <alignment horizontal="right" wrapText="1"/>
    </xf>
    <xf numFmtId="164" fontId="2" fillId="0" borderId="0" xfId="0" quotePrefix="1" applyFont="1" applyFill="1" applyBorder="1" applyAlignment="1">
      <alignment horizontal="left"/>
    </xf>
    <xf numFmtId="164" fontId="2" fillId="0" borderId="0" xfId="0" applyNumberFormat="1" applyFont="1" applyFill="1" applyAlignment="1"/>
    <xf numFmtId="164" fontId="2" fillId="0" borderId="0" xfId="0" applyNumberFormat="1" applyFont="1" applyFill="1" applyAlignment="1">
      <alignment horizontal="left"/>
    </xf>
    <xf numFmtId="168" fontId="2" fillId="0" borderId="5" xfId="0" applyNumberFormat="1" applyFont="1" applyFill="1" applyBorder="1" applyAlignment="1">
      <alignment horizontal="right" wrapText="1"/>
    </xf>
    <xf numFmtId="164" fontId="0" fillId="0" borderId="0" xfId="0" applyFont="1" applyAlignment="1"/>
    <xf numFmtId="164" fontId="2" fillId="0" borderId="0" xfId="0" applyFont="1" applyFill="1" applyBorder="1" applyAlignment="1">
      <alignment horizontal="left"/>
    </xf>
    <xf numFmtId="41" fontId="2" fillId="0" borderId="5" xfId="0" applyNumberFormat="1" applyFont="1" applyFill="1" applyBorder="1" applyAlignment="1">
      <alignment horizontal="right"/>
    </xf>
    <xf numFmtId="41" fontId="2" fillId="0" borderId="4" xfId="0" applyNumberFormat="1" applyFont="1" applyFill="1" applyBorder="1" applyAlignment="1"/>
    <xf numFmtId="42" fontId="2" fillId="0" borderId="4" xfId="0" applyNumberFormat="1" applyFont="1" applyFill="1" applyBorder="1" applyAlignment="1"/>
    <xf numFmtId="172" fontId="2" fillId="0" borderId="0" xfId="0" applyNumberFormat="1" applyFont="1" applyFill="1" applyAlignment="1"/>
    <xf numFmtId="164" fontId="2" fillId="0" borderId="0" xfId="0" applyFont="1" applyFill="1" applyAlignment="1"/>
    <xf numFmtId="0" fontId="0" fillId="0" borderId="0" xfId="0" applyNumberFormat="1" applyFont="1" applyFill="1" applyBorder="1" applyAlignment="1"/>
    <xf numFmtId="41" fontId="2" fillId="0" borderId="0" xfId="0" applyNumberFormat="1" applyFont="1" applyFill="1" applyBorder="1" applyAlignment="1">
      <alignment horizontal="right"/>
    </xf>
    <xf numFmtId="9" fontId="2" fillId="0" borderId="0" xfId="0" applyNumberFormat="1" applyFont="1" applyFill="1" applyAlignment="1"/>
    <xf numFmtId="0" fontId="2" fillId="0" borderId="0" xfId="5" applyFont="1" applyFill="1" applyAlignment="1">
      <alignment horizontal="left"/>
    </xf>
    <xf numFmtId="164" fontId="2" fillId="0" borderId="0" xfId="0" applyNumberFormat="1" applyFont="1" applyFill="1" applyBorder="1" applyAlignment="1"/>
    <xf numFmtId="41" fontId="2" fillId="0" borderId="0" xfId="0" applyNumberFormat="1" applyFont="1" applyFill="1" applyAlignment="1">
      <alignment wrapText="1"/>
    </xf>
    <xf numFmtId="164" fontId="2" fillId="0" borderId="0" xfId="0" quotePrefix="1" applyNumberFormat="1" applyFont="1" applyFill="1" applyAlignment="1">
      <alignment horizontal="left"/>
    </xf>
    <xf numFmtId="165" fontId="2" fillId="0" borderId="0" xfId="0" applyNumberFormat="1" applyFont="1" applyFill="1" applyBorder="1" applyAlignment="1"/>
    <xf numFmtId="4" fontId="0" fillId="0" borderId="0" xfId="0" applyNumberFormat="1" applyFont="1" applyAlignment="1"/>
    <xf numFmtId="41" fontId="2" fillId="0" borderId="0" xfId="8" applyNumberFormat="1" applyFont="1" applyFill="1" applyBorder="1" applyAlignment="1"/>
    <xf numFmtId="0" fontId="2" fillId="0" borderId="0" xfId="5" applyFont="1" applyFill="1" applyAlignment="1"/>
    <xf numFmtId="9" fontId="2" fillId="0" borderId="0" xfId="5" applyNumberFormat="1" applyFont="1" applyFill="1" applyAlignment="1"/>
    <xf numFmtId="164" fontId="2" fillId="0" borderId="0" xfId="0" applyFont="1" applyFill="1" applyBorder="1" applyAlignment="1"/>
    <xf numFmtId="0" fontId="2" fillId="0" borderId="5" xfId="0" applyNumberFormat="1" applyFont="1" applyFill="1" applyBorder="1" applyAlignment="1"/>
    <xf numFmtId="165" fontId="2" fillId="0" borderId="0" xfId="2" applyNumberFormat="1" applyFont="1" applyFill="1" applyBorder="1" applyAlignment="1"/>
    <xf numFmtId="37" fontId="4" fillId="0" borderId="0" xfId="0" applyNumberFormat="1" applyFont="1" applyFill="1" applyAlignment="1"/>
    <xf numFmtId="43" fontId="2" fillId="0" borderId="0" xfId="0" applyNumberFormat="1" applyFont="1" applyFill="1" applyAlignment="1"/>
    <xf numFmtId="0" fontId="2" fillId="0" borderId="4" xfId="0" applyNumberFormat="1" applyFont="1" applyFill="1" applyBorder="1" applyAlignment="1"/>
    <xf numFmtId="0" fontId="11" fillId="0" borderId="0" xfId="5" applyFont="1" applyFill="1" applyAlignment="1"/>
    <xf numFmtId="0" fontId="2" fillId="0" borderId="0" xfId="0" applyNumberFormat="1" applyFont="1" applyFill="1" applyAlignment="1">
      <alignment horizontal="left" indent="1"/>
    </xf>
    <xf numFmtId="42" fontId="7" fillId="0" borderId="3" xfId="0" applyNumberFormat="1" applyFont="1" applyFill="1" applyBorder="1" applyAlignment="1"/>
    <xf numFmtId="164" fontId="2" fillId="0" borderId="0" xfId="0" applyFont="1" applyFill="1" applyAlignment="1">
      <alignment horizontal="center"/>
    </xf>
    <xf numFmtId="0" fontId="12" fillId="0" borderId="0" xfId="0" applyNumberFormat="1" applyFont="1" applyFill="1" applyAlignment="1"/>
    <xf numFmtId="42" fontId="2" fillId="0" borderId="3" xfId="0" applyNumberFormat="1" applyFont="1" applyBorder="1" applyAlignment="1"/>
    <xf numFmtId="164" fontId="2" fillId="0" borderId="0" xfId="0" applyNumberFormat="1" applyFont="1" applyAlignment="1">
      <alignment horizontal="left" indent="1"/>
    </xf>
    <xf numFmtId="37" fontId="7" fillId="0" borderId="0" xfId="0" applyNumberFormat="1" applyFont="1" applyFill="1" applyBorder="1" applyAlignment="1" applyProtection="1">
      <protection locked="0"/>
    </xf>
    <xf numFmtId="9" fontId="2" fillId="0" borderId="0" xfId="0" applyNumberFormat="1" applyFont="1" applyFill="1" applyAlignment="1">
      <alignment horizontal="center"/>
    </xf>
    <xf numFmtId="4" fontId="2" fillId="0" borderId="0" xfId="0" applyNumberFormat="1" applyFont="1" applyFill="1" applyAlignment="1"/>
    <xf numFmtId="41" fontId="2" fillId="0" borderId="0" xfId="0" applyNumberFormat="1" applyFont="1" applyBorder="1" applyAlignment="1"/>
    <xf numFmtId="164" fontId="2" fillId="0" borderId="0" xfId="0" applyFont="1" applyFill="1" applyAlignment="1">
      <alignment horizontal="left" wrapText="1"/>
    </xf>
    <xf numFmtId="41" fontId="2" fillId="0" borderId="0" xfId="0" applyNumberFormat="1" applyFont="1" applyAlignment="1" applyProtection="1">
      <alignment horizontal="right"/>
      <protection locked="0"/>
    </xf>
    <xf numFmtId="41" fontId="2" fillId="0" borderId="10" xfId="0" applyNumberFormat="1" applyFont="1" applyFill="1" applyBorder="1" applyAlignment="1"/>
    <xf numFmtId="165" fontId="2" fillId="0" borderId="4" xfId="2" applyNumberFormat="1" applyFont="1" applyFill="1" applyBorder="1" applyAlignment="1"/>
    <xf numFmtId="9" fontId="2" fillId="0" borderId="0" xfId="0" applyNumberFormat="1" applyFont="1" applyAlignment="1"/>
    <xf numFmtId="42" fontId="7" fillId="0" borderId="4" xfId="0" applyNumberFormat="1" applyFont="1" applyFill="1" applyBorder="1" applyAlignment="1" applyProtection="1">
      <protection locked="0"/>
    </xf>
    <xf numFmtId="164" fontId="2" fillId="0" borderId="0" xfId="0" applyFont="1" applyFill="1" applyAlignment="1">
      <alignment horizontal="center" vertical="center"/>
    </xf>
    <xf numFmtId="164" fontId="2" fillId="0" borderId="0" xfId="0" applyFont="1" applyFill="1" applyAlignment="1">
      <alignment horizontal="left" vertical="center"/>
    </xf>
    <xf numFmtId="173" fontId="2" fillId="0" borderId="0" xfId="0" applyNumberFormat="1" applyFont="1" applyBorder="1" applyAlignment="1">
      <alignment horizontal="center" vertical="center" wrapText="1"/>
    </xf>
    <xf numFmtId="164" fontId="2" fillId="0" borderId="0" xfId="0" applyNumberFormat="1" applyFont="1" applyFill="1" applyAlignment="1">
      <alignment horizontal="left" indent="1"/>
    </xf>
    <xf numFmtId="166" fontId="2" fillId="0" borderId="5" xfId="0" applyNumberFormat="1" applyFont="1" applyFill="1" applyBorder="1" applyAlignment="1" applyProtection="1">
      <protection locked="0"/>
    </xf>
    <xf numFmtId="42" fontId="2" fillId="0" borderId="11" xfId="0" applyNumberFormat="1" applyFont="1" applyBorder="1" applyAlignment="1"/>
    <xf numFmtId="0" fontId="2" fillId="0" borderId="0" xfId="0" applyNumberFormat="1" applyFont="1" applyFill="1" applyAlignment="1">
      <alignment horizontal="left" wrapText="1"/>
    </xf>
    <xf numFmtId="37" fontId="2" fillId="0" borderId="4" xfId="0" applyNumberFormat="1" applyFont="1" applyFill="1" applyBorder="1" applyAlignment="1"/>
    <xf numFmtId="173" fontId="2" fillId="0" borderId="0" xfId="0" applyNumberFormat="1" applyFont="1" applyBorder="1" applyAlignment="1">
      <alignment horizontal="center" wrapText="1"/>
    </xf>
    <xf numFmtId="41" fontId="2" fillId="0" borderId="11" xfId="0" applyNumberFormat="1" applyFont="1" applyBorder="1" applyAlignment="1"/>
    <xf numFmtId="37" fontId="7" fillId="0" borderId="0" xfId="0" applyNumberFormat="1" applyFont="1" applyFill="1" applyAlignment="1"/>
    <xf numFmtId="10" fontId="2" fillId="0" borderId="0" xfId="0" applyNumberFormat="1" applyFont="1" applyFill="1" applyAlignment="1">
      <alignment horizontal="center"/>
    </xf>
    <xf numFmtId="15" fontId="2" fillId="0" borderId="0" xfId="0" applyNumberFormat="1" applyFont="1" applyFill="1">
      <alignment horizontal="left" wrapText="1"/>
    </xf>
    <xf numFmtId="41" fontId="2" fillId="0" borderId="5" xfId="0" applyNumberFormat="1" applyFont="1" applyFill="1" applyBorder="1" applyAlignment="1">
      <alignment wrapText="1"/>
    </xf>
    <xf numFmtId="42" fontId="7" fillId="0" borderId="3" xfId="0" applyNumberFormat="1" applyFont="1" applyBorder="1" applyAlignment="1"/>
    <xf numFmtId="173" fontId="2" fillId="0" borderId="0" xfId="0" applyNumberFormat="1" applyFont="1" applyBorder="1" applyAlignment="1">
      <alignment horizontal="center"/>
    </xf>
    <xf numFmtId="164" fontId="2" fillId="0" borderId="0" xfId="0" applyFont="1" applyAlignment="1">
      <alignment horizontal="left" indent="1"/>
    </xf>
    <xf numFmtId="43" fontId="0" fillId="0" borderId="0" xfId="0" applyNumberFormat="1" applyFont="1" applyAlignment="1"/>
    <xf numFmtId="37" fontId="7" fillId="0" borderId="0" xfId="0" applyNumberFormat="1" applyFont="1" applyFill="1" applyBorder="1" applyAlignment="1"/>
    <xf numFmtId="15" fontId="2" fillId="0" borderId="0" xfId="0" applyNumberFormat="1" applyFont="1" applyFill="1" applyAlignment="1">
      <alignment vertical="top"/>
    </xf>
    <xf numFmtId="42" fontId="7" fillId="0" borderId="3" xfId="0" applyNumberFormat="1" applyFont="1" applyFill="1" applyBorder="1" applyAlignment="1" applyProtection="1">
      <protection locked="0"/>
    </xf>
    <xf numFmtId="41" fontId="2" fillId="0" borderId="0" xfId="0" applyNumberFormat="1" applyFont="1" applyFill="1" applyBorder="1" applyAlignment="1">
      <alignment horizontal="left" wrapText="1"/>
    </xf>
    <xf numFmtId="41" fontId="7" fillId="0" borderId="0" xfId="0" applyNumberFormat="1" applyFont="1" applyFill="1" applyAlignment="1" applyProtection="1">
      <protection locked="0"/>
    </xf>
    <xf numFmtId="1" fontId="2" fillId="0" borderId="0" xfId="0" quotePrefix="1" applyNumberFormat="1" applyFont="1" applyFill="1" applyAlignment="1">
      <alignment horizontal="left"/>
    </xf>
    <xf numFmtId="165" fontId="2" fillId="0" borderId="3" xfId="9" applyNumberFormat="1" applyFont="1" applyFill="1" applyBorder="1" applyAlignment="1"/>
    <xf numFmtId="0" fontId="8" fillId="0" borderId="0" xfId="10" applyNumberFormat="1" applyFont="1" applyAlignment="1"/>
    <xf numFmtId="0" fontId="2" fillId="0" borderId="0" xfId="9" applyFont="1" applyFill="1" applyAlignment="1">
      <alignment horizontal="left"/>
    </xf>
    <xf numFmtId="41" fontId="2" fillId="0" borderId="0" xfId="0" applyNumberFormat="1" applyFont="1" applyFill="1" applyAlignment="1">
      <alignment horizontal="left"/>
    </xf>
    <xf numFmtId="164" fontId="12" fillId="0" borderId="0" xfId="0" applyFont="1" applyBorder="1" applyAlignment="1">
      <alignment horizontal="left"/>
    </xf>
    <xf numFmtId="41" fontId="2" fillId="0" borderId="5" xfId="0" applyNumberFormat="1" applyFont="1" applyBorder="1" applyAlignment="1"/>
    <xf numFmtId="164" fontId="2" fillId="0" borderId="0" xfId="0" applyFont="1" applyFill="1" applyAlignment="1">
      <alignment horizontal="center" vertical="top"/>
    </xf>
    <xf numFmtId="164" fontId="2" fillId="0" borderId="5" xfId="0" applyFont="1" applyFill="1" applyBorder="1" applyAlignment="1">
      <alignment horizontal="left" vertical="top"/>
    </xf>
    <xf numFmtId="41" fontId="2" fillId="0" borderId="0" xfId="0" applyNumberFormat="1" applyFont="1" applyFill="1" applyBorder="1" applyAlignment="1" applyProtection="1">
      <alignment horizontal="left" wrapText="1"/>
      <protection locked="0"/>
    </xf>
    <xf numFmtId="41" fontId="7" fillId="0" borderId="0" xfId="0" applyNumberFormat="1" applyFont="1" applyFill="1" applyAlignment="1"/>
    <xf numFmtId="41" fontId="2" fillId="0" borderId="0" xfId="9" applyNumberFormat="1" applyFont="1" applyFill="1" applyBorder="1" applyAlignment="1" applyProtection="1">
      <protection locked="0"/>
    </xf>
    <xf numFmtId="9" fontId="2" fillId="0" borderId="0" xfId="9" applyNumberFormat="1" applyFont="1" applyFill="1" applyBorder="1" applyAlignment="1"/>
    <xf numFmtId="41" fontId="2" fillId="0" borderId="4" xfId="0" applyNumberFormat="1" applyFont="1" applyBorder="1" applyAlignment="1" applyProtection="1">
      <alignment horizontal="right"/>
      <protection locked="0"/>
    </xf>
    <xf numFmtId="3" fontId="2" fillId="0" borderId="0" xfId="0" applyNumberFormat="1" applyFont="1" applyFill="1" applyAlignment="1"/>
    <xf numFmtId="164" fontId="2" fillId="0" borderId="0" xfId="5" applyNumberFormat="1" applyFont="1" applyFill="1" applyAlignment="1">
      <alignment horizontal="left" indent="1"/>
    </xf>
    <xf numFmtId="164" fontId="2" fillId="0" borderId="0" xfId="0" applyFont="1" applyFill="1">
      <alignment horizontal="left" wrapText="1"/>
    </xf>
    <xf numFmtId="41" fontId="7" fillId="0" borderId="0" xfId="0" applyNumberFormat="1" applyFont="1" applyAlignment="1"/>
    <xf numFmtId="1" fontId="2" fillId="0" borderId="0" xfId="0" applyNumberFormat="1" applyFont="1" applyFill="1" applyAlignment="1"/>
    <xf numFmtId="41" fontId="2" fillId="0" borderId="0" xfId="11" applyNumberFormat="1" applyFont="1" applyFill="1" applyBorder="1"/>
    <xf numFmtId="0" fontId="2" fillId="0" borderId="0" xfId="11" applyFont="1" applyFill="1" applyAlignment="1">
      <alignment horizontal="left" indent="2"/>
    </xf>
    <xf numFmtId="37" fontId="2" fillId="0" borderId="5" xfId="0" applyNumberFormat="1" applyFont="1" applyFill="1" applyBorder="1" applyAlignment="1"/>
    <xf numFmtId="0" fontId="14" fillId="0" borderId="0" xfId="0" applyNumberFormat="1" applyFont="1" applyFill="1" applyAlignment="1"/>
    <xf numFmtId="164" fontId="2" fillId="0" borderId="0" xfId="0" applyFont="1" applyFill="1" applyAlignment="1">
      <alignment vertical="center"/>
    </xf>
    <xf numFmtId="164" fontId="2" fillId="0" borderId="0" xfId="12" quotePrefix="1" applyFont="1" applyFill="1" applyAlignment="1">
      <alignment horizontal="left"/>
    </xf>
    <xf numFmtId="5" fontId="2" fillId="0" borderId="0" xfId="0" applyNumberFormat="1" applyFont="1" applyFill="1" applyAlignment="1" applyProtection="1">
      <protection locked="0"/>
    </xf>
    <xf numFmtId="37" fontId="2" fillId="0" borderId="0" xfId="0" applyNumberFormat="1" applyFont="1" applyFill="1" applyBorder="1" applyAlignment="1">
      <alignment horizontal="right"/>
    </xf>
    <xf numFmtId="17" fontId="2" fillId="0" borderId="0" xfId="0" applyNumberFormat="1" applyFont="1" applyAlignment="1"/>
    <xf numFmtId="164" fontId="0" fillId="0" borderId="0" xfId="0" applyFont="1" applyFill="1" applyAlignment="1"/>
    <xf numFmtId="10" fontId="2" fillId="0" borderId="0" xfId="0" applyNumberFormat="1" applyFont="1" applyFill="1" applyBorder="1" applyAlignment="1">
      <alignment horizontal="center"/>
    </xf>
    <xf numFmtId="41" fontId="7" fillId="0" borderId="4" xfId="0" applyNumberFormat="1" applyFont="1" applyFill="1" applyBorder="1" applyAlignment="1"/>
    <xf numFmtId="41" fontId="2" fillId="0" borderId="4" xfId="0" applyNumberFormat="1" applyFont="1" applyBorder="1" applyAlignment="1"/>
    <xf numFmtId="41" fontId="7" fillId="0" borderId="4" xfId="0" applyNumberFormat="1" applyFont="1" applyBorder="1" applyAlignment="1"/>
    <xf numFmtId="166" fontId="8" fillId="0" borderId="0" xfId="0" applyNumberFormat="1" applyFont="1" applyFill="1" applyAlignment="1">
      <alignment horizontal="right"/>
    </xf>
    <xf numFmtId="41" fontId="2" fillId="0" borderId="0" xfId="0" applyNumberFormat="1" applyFont="1" applyFill="1" applyAlignment="1">
      <alignment horizontal="fill"/>
    </xf>
    <xf numFmtId="164" fontId="2" fillId="0" borderId="0" xfId="12" applyFont="1" applyFill="1" applyAlignment="1">
      <alignment horizontal="left"/>
    </xf>
    <xf numFmtId="41" fontId="2" fillId="0" borderId="0" xfId="0" applyNumberFormat="1" applyFont="1" applyFill="1" applyAlignment="1">
      <alignment horizontal="right"/>
    </xf>
    <xf numFmtId="41" fontId="0" fillId="0" borderId="0" xfId="0" applyNumberFormat="1" applyFont="1" applyAlignment="1"/>
    <xf numFmtId="0" fontId="12" fillId="0" borderId="0" xfId="0" applyNumberFormat="1" applyFont="1" applyAlignment="1"/>
    <xf numFmtId="41" fontId="7" fillId="0" borderId="5" xfId="0" applyNumberFormat="1" applyFont="1" applyFill="1" applyBorder="1" applyAlignment="1" applyProtection="1">
      <protection locked="0"/>
    </xf>
    <xf numFmtId="0" fontId="2" fillId="0" borderId="0" xfId="0" applyNumberFormat="1" applyFont="1" applyFill="1" applyAlignment="1">
      <alignment horizontal="left" indent="2"/>
    </xf>
    <xf numFmtId="41" fontId="7" fillId="0" borderId="5" xfId="1" applyNumberFormat="1" applyFont="1" applyFill="1" applyBorder="1"/>
    <xf numFmtId="0" fontId="2" fillId="0" borderId="0" xfId="0" applyNumberFormat="1" applyFont="1" applyFill="1" applyBorder="1" applyAlignment="1">
      <alignment horizontal="left"/>
    </xf>
    <xf numFmtId="164" fontId="12" fillId="0" borderId="0" xfId="12" applyFont="1" applyFill="1" applyAlignment="1">
      <alignment horizontal="left"/>
    </xf>
    <xf numFmtId="164" fontId="0" fillId="0" borderId="4" xfId="0" applyFont="1" applyFill="1" applyBorder="1" applyAlignment="1"/>
    <xf numFmtId="168" fontId="2" fillId="0" borderId="0" xfId="0" applyNumberFormat="1" applyFont="1" applyFill="1" applyAlignment="1">
      <alignment horizontal="center"/>
    </xf>
    <xf numFmtId="164" fontId="2" fillId="0" borderId="5" xfId="0" applyFont="1" applyFill="1" applyBorder="1" applyAlignment="1">
      <alignment horizontal="left"/>
    </xf>
    <xf numFmtId="41" fontId="2" fillId="0" borderId="0" xfId="0" applyNumberFormat="1" applyFont="1" applyFill="1" applyBorder="1" applyAlignment="1">
      <alignment vertical="center"/>
    </xf>
    <xf numFmtId="0" fontId="2" fillId="0" borderId="0" xfId="0" applyNumberFormat="1" applyFont="1" applyFill="1" applyAlignment="1">
      <alignment horizontal="left" vertical="center" indent="2"/>
    </xf>
    <xf numFmtId="10" fontId="11" fillId="0" borderId="0" xfId="0" applyNumberFormat="1" applyFont="1" applyFill="1" applyAlignment="1"/>
    <xf numFmtId="41" fontId="2" fillId="0" borderId="3" xfId="0" applyNumberFormat="1" applyFont="1" applyBorder="1" applyAlignment="1"/>
    <xf numFmtId="174" fontId="2" fillId="0" borderId="5" xfId="0" applyNumberFormat="1" applyFont="1" applyFill="1" applyBorder="1" applyAlignment="1">
      <alignment horizontal="right"/>
    </xf>
    <xf numFmtId="41" fontId="2" fillId="0" borderId="4" xfId="11" applyNumberFormat="1" applyFont="1" applyFill="1" applyBorder="1"/>
    <xf numFmtId="164" fontId="2" fillId="0" borderId="0" xfId="13" applyFont="1" applyAlignment="1">
      <alignment horizontal="left" indent="2"/>
    </xf>
    <xf numFmtId="168" fontId="7" fillId="0" borderId="5" xfId="0" applyNumberFormat="1" applyFont="1" applyFill="1" applyBorder="1" applyAlignment="1" applyProtection="1">
      <protection locked="0"/>
    </xf>
    <xf numFmtId="0" fontId="2" fillId="0" borderId="0" xfId="14" applyFont="1" applyFill="1" applyAlignment="1">
      <alignment horizontal="left" indent="1"/>
    </xf>
    <xf numFmtId="175" fontId="2" fillId="0" borderId="0" xfId="0" applyNumberFormat="1" applyFont="1" applyFill="1" applyAlignment="1">
      <alignment horizontal="left"/>
    </xf>
    <xf numFmtId="165" fontId="2" fillId="0" borderId="0" xfId="15" applyNumberFormat="1" applyFont="1" applyFill="1" applyBorder="1" applyAlignment="1"/>
    <xf numFmtId="164" fontId="2" fillId="0" borderId="0" xfId="12" applyFont="1" applyFill="1" applyAlignment="1">
      <alignment horizontal="left" indent="1"/>
    </xf>
    <xf numFmtId="164" fontId="2" fillId="0" borderId="0" xfId="0" applyFont="1" applyFill="1" applyAlignment="1">
      <alignment horizontal="right"/>
    </xf>
    <xf numFmtId="3" fontId="2" fillId="0" borderId="0" xfId="0" applyNumberFormat="1" applyFont="1" applyFill="1" applyBorder="1" applyAlignment="1"/>
    <xf numFmtId="0" fontId="2" fillId="0" borderId="0" xfId="10" applyNumberFormat="1" applyFont="1" applyFill="1" applyAlignment="1">
      <alignment horizontal="left" indent="2"/>
    </xf>
    <xf numFmtId="41" fontId="2" fillId="0" borderId="0" xfId="0" applyNumberFormat="1" applyFont="1" applyBorder="1" applyAlignment="1" applyProtection="1">
      <alignment horizontal="right"/>
      <protection locked="0"/>
    </xf>
    <xf numFmtId="37" fontId="2" fillId="0" borderId="5" xfId="0" applyNumberFormat="1" applyFont="1" applyFill="1" applyBorder="1" applyAlignment="1" applyProtection="1">
      <protection locked="0"/>
    </xf>
    <xf numFmtId="168" fontId="7" fillId="0" borderId="0" xfId="0" applyNumberFormat="1" applyFont="1" applyFill="1" applyBorder="1" applyAlignment="1" applyProtection="1">
      <protection locked="0"/>
    </xf>
    <xf numFmtId="41" fontId="2" fillId="0" borderId="0" xfId="0" applyNumberFormat="1" applyFont="1" applyFill="1" applyAlignment="1">
      <alignment horizontal="center"/>
    </xf>
    <xf numFmtId="41" fontId="7" fillId="0" borderId="5" xfId="0" applyNumberFormat="1" applyFont="1" applyFill="1" applyBorder="1" applyAlignment="1"/>
    <xf numFmtId="165" fontId="2" fillId="0" borderId="0" xfId="0" applyNumberFormat="1" applyFont="1" applyBorder="1" applyAlignment="1"/>
    <xf numFmtId="0" fontId="8" fillId="0" borderId="0" xfId="11" applyFont="1" applyFill="1"/>
    <xf numFmtId="41" fontId="2" fillId="0" borderId="5" xfId="0" applyNumberFormat="1" applyFont="1" applyFill="1" applyBorder="1" applyAlignment="1" applyProtection="1">
      <alignment horizontal="right"/>
      <protection locked="0"/>
    </xf>
    <xf numFmtId="166" fontId="16" fillId="0" borderId="0" xfId="0" applyNumberFormat="1" applyFont="1" applyAlignment="1"/>
    <xf numFmtId="164" fontId="2" fillId="0" borderId="0" xfId="12" applyFont="1" applyFill="1" applyAlignment="1">
      <alignment horizontal="left" indent="2"/>
    </xf>
    <xf numFmtId="42" fontId="2" fillId="0" borderId="0" xfId="0" applyNumberFormat="1" applyFont="1" applyBorder="1" applyAlignment="1" applyProtection="1">
      <alignment horizontal="right"/>
      <protection locked="0"/>
    </xf>
    <xf numFmtId="164" fontId="2" fillId="0" borderId="0" xfId="0" applyFont="1" applyAlignment="1">
      <alignment horizontal="left"/>
    </xf>
    <xf numFmtId="10" fontId="2" fillId="0" borderId="0" xfId="0" applyNumberFormat="1" applyFont="1" applyFill="1" applyAlignment="1">
      <alignment horizontal="right"/>
    </xf>
    <xf numFmtId="164" fontId="2" fillId="0" borderId="0" xfId="0" quotePrefix="1" applyFont="1" applyFill="1" applyAlignment="1">
      <alignment horizontal="left"/>
    </xf>
    <xf numFmtId="176" fontId="2" fillId="0" borderId="0" xfId="0" applyNumberFormat="1" applyFont="1" applyFill="1" applyBorder="1" applyAlignment="1">
      <alignment horizontal="right"/>
    </xf>
    <xf numFmtId="42" fontId="2" fillId="0" borderId="0" xfId="11" applyNumberFormat="1" applyFont="1" applyFill="1" applyBorder="1"/>
    <xf numFmtId="168" fontId="2" fillId="0" borderId="4" xfId="0" applyNumberFormat="1" applyFont="1" applyFill="1" applyBorder="1" applyAlignment="1" applyProtection="1">
      <alignment horizontal="right"/>
      <protection locked="0"/>
    </xf>
    <xf numFmtId="3" fontId="2" fillId="0" borderId="0" xfId="0" applyNumberFormat="1" applyFont="1" applyFill="1" applyAlignment="1">
      <alignment horizontal="right"/>
    </xf>
    <xf numFmtId="17" fontId="2" fillId="0" borderId="0" xfId="0" applyNumberFormat="1" applyFont="1" applyFill="1" applyBorder="1" applyAlignment="1">
      <alignment horizontal="left"/>
    </xf>
    <xf numFmtId="0" fontId="2" fillId="0" borderId="0" xfId="16" applyFont="1" applyFill="1" applyAlignment="1">
      <alignment horizontal="left" wrapText="1"/>
    </xf>
    <xf numFmtId="41" fontId="12" fillId="0" borderId="0" xfId="0" applyNumberFormat="1" applyFont="1" applyBorder="1" applyAlignment="1"/>
    <xf numFmtId="0" fontId="12" fillId="0" borderId="0" xfId="0" applyNumberFormat="1" applyFont="1" applyBorder="1" applyAlignment="1"/>
    <xf numFmtId="166" fontId="2" fillId="0" borderId="0" xfId="0" applyNumberFormat="1" applyFont="1" applyAlignment="1"/>
    <xf numFmtId="15" fontId="2" fillId="0" borderId="0" xfId="0" applyNumberFormat="1" applyFont="1" applyFill="1" applyAlignment="1"/>
    <xf numFmtId="41" fontId="2" fillId="0" borderId="0" xfId="0" applyNumberFormat="1" applyFont="1" applyFill="1">
      <alignment horizontal="left" wrapText="1"/>
    </xf>
    <xf numFmtId="174" fontId="2" fillId="0" borderId="0" xfId="3" applyNumberFormat="1" applyFont="1" applyFill="1" applyAlignment="1"/>
    <xf numFmtId="9" fontId="2" fillId="0" borderId="0" xfId="0" applyNumberFormat="1" applyFont="1" applyFill="1" applyBorder="1" applyAlignment="1"/>
    <xf numFmtId="165" fontId="2" fillId="0" borderId="3" xfId="15" applyNumberFormat="1" applyFont="1" applyFill="1" applyBorder="1" applyAlignment="1"/>
    <xf numFmtId="41" fontId="2" fillId="0" borderId="4" xfId="0" applyNumberFormat="1" applyFont="1" applyFill="1" applyBorder="1" applyAlignment="1">
      <alignment horizontal="right"/>
    </xf>
    <xf numFmtId="41" fontId="4" fillId="0" borderId="0" xfId="0" applyNumberFormat="1" applyFont="1" applyBorder="1" applyAlignment="1"/>
    <xf numFmtId="174" fontId="2" fillId="0" borderId="0" xfId="0" applyNumberFormat="1" applyFont="1" applyFill="1" applyBorder="1" applyAlignment="1">
      <alignment horizontal="right"/>
    </xf>
    <xf numFmtId="166" fontId="8" fillId="0" borderId="0" xfId="0" applyNumberFormat="1" applyFont="1" applyFill="1" applyAlignment="1"/>
    <xf numFmtId="175" fontId="2" fillId="0" borderId="0" xfId="0" quotePrefix="1" applyNumberFormat="1" applyFont="1" applyFill="1" applyAlignment="1">
      <alignment horizontal="left"/>
    </xf>
    <xf numFmtId="168" fontId="2" fillId="0" borderId="0" xfId="0" applyNumberFormat="1" applyFont="1" applyFill="1" applyBorder="1" applyAlignment="1" applyProtection="1">
      <protection locked="0"/>
    </xf>
    <xf numFmtId="10" fontId="2" fillId="0" borderId="5" xfId="0" applyNumberFormat="1" applyFont="1" applyFill="1" applyBorder="1" applyAlignment="1">
      <alignment horizontal="right"/>
    </xf>
    <xf numFmtId="9" fontId="0" fillId="0" borderId="0" xfId="3" applyFont="1" applyAlignment="1"/>
    <xf numFmtId="0" fontId="2" fillId="0" borderId="0" xfId="17" applyNumberFormat="1" applyFont="1" applyFill="1" applyBorder="1" applyAlignment="1" applyProtection="1">
      <protection locked="0"/>
    </xf>
    <xf numFmtId="166" fontId="2" fillId="0" borderId="0" xfId="0" applyNumberFormat="1" applyFont="1" applyBorder="1" applyAlignment="1"/>
    <xf numFmtId="0" fontId="2" fillId="0" borderId="0" xfId="0" quotePrefix="1" applyNumberFormat="1" applyFont="1" applyFill="1" applyAlignment="1"/>
    <xf numFmtId="41" fontId="2" fillId="0" borderId="0" xfId="0" applyNumberFormat="1" applyFont="1" applyFill="1" applyBorder="1" applyAlignment="1" applyProtection="1">
      <alignment horizontal="right"/>
      <protection locked="0"/>
    </xf>
    <xf numFmtId="0" fontId="2" fillId="0" borderId="0" xfId="16" applyFont="1" applyFill="1" applyAlignment="1"/>
    <xf numFmtId="41" fontId="2" fillId="0" borderId="4" xfId="17" applyNumberFormat="1" applyFont="1" applyFill="1" applyBorder="1" applyProtection="1">
      <protection locked="0"/>
    </xf>
    <xf numFmtId="42" fontId="2" fillId="0" borderId="0" xfId="0" applyNumberFormat="1" applyFont="1" applyBorder="1" applyAlignment="1"/>
    <xf numFmtId="42" fontId="2" fillId="0" borderId="0" xfId="0" applyNumberFormat="1" applyFont="1" applyBorder="1" applyAlignment="1" applyProtection="1">
      <protection locked="0"/>
    </xf>
    <xf numFmtId="164" fontId="2" fillId="0" borderId="0" xfId="0" applyFont="1" applyFill="1" applyBorder="1" applyAlignment="1" applyProtection="1">
      <alignment horizontal="left"/>
      <protection locked="0"/>
    </xf>
    <xf numFmtId="166" fontId="7" fillId="0" borderId="5" xfId="0" applyNumberFormat="1" applyFont="1" applyFill="1" applyBorder="1" applyAlignment="1"/>
    <xf numFmtId="10" fontId="7" fillId="0" borderId="0" xfId="0" applyNumberFormat="1" applyFont="1" applyFill="1" applyAlignment="1">
      <alignment horizontal="center"/>
    </xf>
    <xf numFmtId="42" fontId="2" fillId="0" borderId="0" xfId="0" applyNumberFormat="1" applyFont="1" applyFill="1" applyAlignment="1">
      <alignment vertical="center"/>
    </xf>
    <xf numFmtId="42" fontId="2" fillId="0" borderId="0" xfId="0" applyNumberFormat="1" applyFont="1" applyFill="1" applyBorder="1" applyProtection="1">
      <alignment horizontal="left" wrapText="1"/>
      <protection locked="0"/>
    </xf>
    <xf numFmtId="42" fontId="7" fillId="0" borderId="11" xfId="0" applyNumberFormat="1" applyFont="1" applyBorder="1" applyAlignment="1"/>
    <xf numFmtId="42" fontId="2" fillId="0" borderId="0" xfId="18" applyNumberFormat="1" applyFont="1" applyFill="1" applyBorder="1"/>
    <xf numFmtId="42" fontId="2" fillId="0" borderId="0" xfId="18" applyNumberFormat="1" applyFont="1" applyFill="1"/>
    <xf numFmtId="41" fontId="2" fillId="0" borderId="0" xfId="0" applyNumberFormat="1" applyFont="1" applyFill="1" applyAlignment="1" applyProtection="1">
      <alignment horizontal="right"/>
      <protection locked="0"/>
    </xf>
    <xf numFmtId="42" fontId="2" fillId="0" borderId="5" xfId="0" applyNumberFormat="1" applyFont="1" applyBorder="1" applyAlignment="1" applyProtection="1">
      <alignment horizontal="right"/>
      <protection locked="0"/>
    </xf>
    <xf numFmtId="42" fontId="2" fillId="0" borderId="5" xfId="0" applyNumberFormat="1" applyFont="1" applyBorder="1" applyAlignment="1"/>
    <xf numFmtId="5" fontId="2" fillId="0" borderId="0" xfId="0" applyNumberFormat="1" applyFont="1" applyFill="1" applyBorder="1" applyAlignment="1"/>
    <xf numFmtId="42" fontId="7" fillId="0" borderId="0" xfId="0" applyNumberFormat="1" applyFont="1" applyFill="1" applyAlignment="1" applyProtection="1">
      <protection locked="0"/>
    </xf>
    <xf numFmtId="42" fontId="7" fillId="0" borderId="0" xfId="0" applyNumberFormat="1" applyFont="1" applyFill="1" applyAlignment="1" applyProtection="1">
      <alignment horizontal="right"/>
      <protection locked="0"/>
    </xf>
    <xf numFmtId="42" fontId="7" fillId="0" borderId="0" xfId="0" applyNumberFormat="1" applyFont="1" applyFill="1" applyBorder="1" applyAlignment="1"/>
    <xf numFmtId="42" fontId="2" fillId="0" borderId="0" xfId="0" applyNumberFormat="1" applyFont="1" applyFill="1" applyAlignment="1">
      <alignment horizontal="right"/>
    </xf>
    <xf numFmtId="164" fontId="12" fillId="0" borderId="0" xfId="12" applyFont="1" applyAlignment="1">
      <alignment horizontal="left"/>
    </xf>
    <xf numFmtId="165" fontId="2" fillId="0" borderId="0" xfId="2" applyNumberFormat="1" applyFont="1" applyFill="1" applyBorder="1" applyAlignment="1">
      <alignment horizontal="right" wrapText="1"/>
    </xf>
    <xf numFmtId="168" fontId="2" fillId="0" borderId="0" xfId="0" applyNumberFormat="1" applyFont="1" applyFill="1" applyBorder="1">
      <alignment horizontal="left" wrapText="1"/>
    </xf>
    <xf numFmtId="10" fontId="12" fillId="0" borderId="0" xfId="0" applyNumberFormat="1" applyFont="1" applyFill="1" applyAlignment="1">
      <alignment horizontal="center"/>
    </xf>
    <xf numFmtId="37" fontId="12" fillId="0" borderId="0" xfId="0" applyNumberFormat="1" applyFont="1" applyFill="1" applyBorder="1" applyAlignment="1">
      <alignment horizontal="center"/>
    </xf>
    <xf numFmtId="0" fontId="12" fillId="0" borderId="0" xfId="0" quotePrefix="1" applyNumberFormat="1" applyFont="1" applyFill="1" applyAlignment="1">
      <alignment horizontal="center"/>
    </xf>
    <xf numFmtId="0" fontId="2" fillId="0" borderId="0" xfId="16" applyFont="1" applyFill="1" applyBorder="1" applyAlignment="1" applyProtection="1">
      <alignment horizontal="left"/>
      <protection locked="0"/>
    </xf>
    <xf numFmtId="0" fontId="2" fillId="0" borderId="0" xfId="17" applyNumberFormat="1" applyFont="1" applyFill="1" applyAlignment="1" applyProtection="1">
      <protection locked="0"/>
    </xf>
    <xf numFmtId="42" fontId="2" fillId="0" borderId="0" xfId="0" applyNumberFormat="1" applyFont="1" applyAlignment="1" applyProtection="1">
      <alignment horizontal="right"/>
      <protection locked="0"/>
    </xf>
    <xf numFmtId="0" fontId="12" fillId="0" borderId="0" xfId="0" applyNumberFormat="1" applyFont="1" applyFill="1" applyBorder="1" applyAlignment="1">
      <alignment horizontal="center"/>
    </xf>
    <xf numFmtId="0" fontId="11" fillId="0" borderId="0" xfId="0" applyNumberFormat="1" applyFont="1" applyFill="1" applyAlignment="1">
      <alignment horizontal="left"/>
    </xf>
    <xf numFmtId="42" fontId="2" fillId="0" borderId="5" xfId="0" applyNumberFormat="1" applyFont="1" applyFill="1" applyBorder="1" applyAlignment="1" applyProtection="1">
      <protection locked="0"/>
    </xf>
    <xf numFmtId="42" fontId="7" fillId="0" borderId="5" xfId="0" applyNumberFormat="1" applyFont="1" applyFill="1" applyBorder="1" applyAlignment="1"/>
    <xf numFmtId="0" fontId="2" fillId="0" borderId="0" xfId="11" applyFont="1" applyFill="1"/>
    <xf numFmtId="42" fontId="2" fillId="0" borderId="0" xfId="0" applyNumberFormat="1" applyFont="1" applyFill="1" applyAlignment="1" applyProtection="1">
      <alignment horizontal="right"/>
      <protection locked="0"/>
    </xf>
    <xf numFmtId="177" fontId="2" fillId="0" borderId="0" xfId="0" applyNumberFormat="1" applyFont="1" applyFill="1" applyAlignment="1">
      <alignment horizontal="right"/>
    </xf>
    <xf numFmtId="177" fontId="2" fillId="0" borderId="0" xfId="0" applyNumberFormat="1" applyFont="1" applyFill="1" applyAlignment="1">
      <alignment horizontal="left"/>
    </xf>
    <xf numFmtId="168" fontId="12" fillId="0" borderId="0" xfId="0" applyNumberFormat="1" applyFont="1" applyFill="1" applyBorder="1" applyAlignment="1"/>
    <xf numFmtId="37" fontId="2" fillId="0" borderId="0" xfId="0" applyNumberFormat="1" applyFont="1" applyFill="1" applyBorder="1" applyAlignment="1">
      <alignment horizontal="center"/>
    </xf>
    <xf numFmtId="0" fontId="2" fillId="0" borderId="0" xfId="0" applyNumberFormat="1" applyFont="1" applyFill="1" applyBorder="1" applyAlignment="1">
      <alignment horizontal="center"/>
    </xf>
    <xf numFmtId="0" fontId="2" fillId="0" borderId="0" xfId="0" quotePrefix="1" applyNumberFormat="1" applyFont="1" applyFill="1" applyAlignment="1">
      <alignment horizontal="center"/>
    </xf>
    <xf numFmtId="0" fontId="11" fillId="0" borderId="0" xfId="16" applyNumberFormat="1" applyFont="1" applyFill="1" applyAlignment="1">
      <alignment horizontal="center"/>
    </xf>
    <xf numFmtId="164" fontId="2" fillId="0" borderId="0" xfId="0" applyFont="1" applyAlignment="1"/>
    <xf numFmtId="164" fontId="16" fillId="0" borderId="0" xfId="0" applyFont="1" applyAlignment="1"/>
    <xf numFmtId="166" fontId="2" fillId="0" borderId="0" xfId="1" applyNumberFormat="1" applyFont="1" applyFill="1" applyAlignment="1">
      <alignment horizontal="left"/>
    </xf>
    <xf numFmtId="168" fontId="7" fillId="0" borderId="0" xfId="0" applyNumberFormat="1" applyFont="1" applyFill="1" applyAlignment="1" applyProtection="1">
      <alignment horizontal="right"/>
      <protection locked="0"/>
    </xf>
    <xf numFmtId="164" fontId="2" fillId="0" borderId="0" xfId="0" applyFont="1" applyFill="1" applyAlignment="1">
      <alignment horizontal="centerContinuous"/>
    </xf>
    <xf numFmtId="0" fontId="12" fillId="0" borderId="0" xfId="0" applyNumberFormat="1" applyFont="1" applyFill="1" applyBorder="1" applyAlignment="1"/>
    <xf numFmtId="0" fontId="2" fillId="0" borderId="0" xfId="0" applyNumberFormat="1" applyFont="1" applyFill="1" applyBorder="1" applyAlignment="1" applyProtection="1">
      <alignment horizontal="center"/>
      <protection locked="0"/>
    </xf>
    <xf numFmtId="164" fontId="4" fillId="0" borderId="5" xfId="0" applyFont="1" applyBorder="1" applyAlignment="1">
      <alignment horizontal="center"/>
    </xf>
    <xf numFmtId="164" fontId="4" fillId="0" borderId="5" xfId="0" applyFont="1" applyFill="1" applyBorder="1" applyAlignment="1" applyProtection="1">
      <protection locked="0"/>
    </xf>
    <xf numFmtId="164" fontId="4" fillId="0" borderId="5" xfId="0" applyFont="1" applyFill="1" applyBorder="1" applyAlignment="1">
      <alignment horizontal="center"/>
    </xf>
    <xf numFmtId="41" fontId="4" fillId="0" borderId="5" xfId="0" applyNumberFormat="1" applyFont="1" applyBorder="1" applyAlignment="1">
      <alignment horizontal="center"/>
    </xf>
    <xf numFmtId="0" fontId="4" fillId="0" borderId="5" xfId="0" applyNumberFormat="1" applyFont="1" applyBorder="1" applyAlignment="1">
      <alignment horizontal="center"/>
    </xf>
    <xf numFmtId="0" fontId="4" fillId="0" borderId="5" xfId="0" applyNumberFormat="1" applyFont="1" applyBorder="1" applyAlignment="1"/>
    <xf numFmtId="0" fontId="4" fillId="0" borderId="5" xfId="0" applyNumberFormat="1" applyFont="1" applyFill="1" applyBorder="1" applyAlignment="1" applyProtection="1">
      <alignment horizontal="right"/>
      <protection locked="0"/>
    </xf>
    <xf numFmtId="0" fontId="4" fillId="0" borderId="5" xfId="0" applyNumberFormat="1" applyFont="1" applyFill="1" applyBorder="1" applyAlignment="1">
      <alignment horizontal="center"/>
    </xf>
    <xf numFmtId="0" fontId="4" fillId="0" borderId="5" xfId="0" applyNumberFormat="1" applyFont="1" applyFill="1" applyBorder="1" applyAlignment="1"/>
    <xf numFmtId="0" fontId="4" fillId="0" borderId="5" xfId="0" applyNumberFormat="1" applyFont="1" applyFill="1" applyBorder="1" applyAlignment="1" applyProtection="1">
      <alignment horizontal="center"/>
      <protection locked="0"/>
    </xf>
    <xf numFmtId="0" fontId="4" fillId="0" borderId="5" xfId="0" applyNumberFormat="1" applyFont="1" applyFill="1" applyBorder="1" applyAlignment="1">
      <alignment horizontal="left"/>
    </xf>
    <xf numFmtId="0" fontId="4" fillId="0" borderId="5" xfId="0" applyNumberFormat="1" applyFont="1" applyFill="1" applyBorder="1" applyAlignment="1">
      <alignment horizontal="right"/>
    </xf>
    <xf numFmtId="0" fontId="4" fillId="0" borderId="5" xfId="0" applyNumberFormat="1" applyFont="1" applyFill="1" applyBorder="1" applyAlignment="1" applyProtection="1">
      <protection locked="0"/>
    </xf>
    <xf numFmtId="0" fontId="4" fillId="0" borderId="5" xfId="0" quotePrefix="1" applyNumberFormat="1" applyFont="1" applyFill="1" applyBorder="1" applyAlignment="1" applyProtection="1">
      <alignment horizontal="center"/>
      <protection locked="0"/>
    </xf>
    <xf numFmtId="168" fontId="4" fillId="0" borderId="5" xfId="0" applyNumberFormat="1" applyFont="1" applyFill="1" applyBorder="1" applyAlignment="1">
      <alignment horizontal="center"/>
    </xf>
    <xf numFmtId="0" fontId="4" fillId="0" borderId="5" xfId="0" applyNumberFormat="1" applyFont="1" applyFill="1" applyBorder="1" applyAlignment="1">
      <alignment horizontal="centerContinuous"/>
    </xf>
    <xf numFmtId="3" fontId="4" fillId="0" borderId="5" xfId="0" applyNumberFormat="1" applyFont="1" applyFill="1" applyBorder="1" applyAlignment="1">
      <alignment horizontal="center"/>
    </xf>
    <xf numFmtId="164" fontId="4" fillId="0" borderId="5" xfId="0" applyFont="1" applyFill="1" applyBorder="1" applyAlignment="1" applyProtection="1">
      <alignment horizontal="center"/>
      <protection locked="0"/>
    </xf>
    <xf numFmtId="164" fontId="4" fillId="0" borderId="5" xfId="0" applyFont="1" applyBorder="1" applyProtection="1">
      <alignment horizontal="left" wrapText="1"/>
      <protection locked="0"/>
    </xf>
    <xf numFmtId="164" fontId="4" fillId="0" borderId="0" xfId="0" applyFont="1" applyFill="1" applyAlignment="1"/>
    <xf numFmtId="164" fontId="4" fillId="0" borderId="0" xfId="0" applyFont="1" applyFill="1" applyAlignment="1">
      <alignment horizontal="center"/>
    </xf>
    <xf numFmtId="41" fontId="4" fillId="0" borderId="0" xfId="0" applyNumberFormat="1" applyFont="1" applyAlignment="1">
      <alignment horizontal="center"/>
    </xf>
    <xf numFmtId="0" fontId="7" fillId="0" borderId="0" xfId="0" applyNumberFormat="1" applyFont="1" applyFill="1" applyAlignment="1">
      <alignment horizontal="right"/>
    </xf>
    <xf numFmtId="0" fontId="4" fillId="0" borderId="0" xfId="0" applyNumberFormat="1" applyFont="1" applyFill="1" applyAlignment="1" applyProtection="1">
      <alignment horizontal="center"/>
      <protection locked="0"/>
    </xf>
    <xf numFmtId="0" fontId="4" fillId="0" borderId="0" xfId="0" applyNumberFormat="1" applyFont="1" applyFill="1" applyAlignment="1" applyProtection="1">
      <protection locked="0"/>
    </xf>
    <xf numFmtId="3" fontId="4" fillId="0" borderId="0" xfId="0" applyNumberFormat="1" applyFont="1" applyFill="1" applyAlignment="1">
      <alignment horizontal="center"/>
    </xf>
    <xf numFmtId="164" fontId="4" fillId="0" borderId="0" xfId="0" applyFont="1" applyFill="1" applyAlignment="1" applyProtection="1">
      <alignment horizontal="center"/>
      <protection locked="0"/>
    </xf>
    <xf numFmtId="164" fontId="4" fillId="0" borderId="0" xfId="0" applyFont="1" applyProtection="1">
      <alignment horizontal="left" wrapText="1"/>
      <protection locked="0"/>
    </xf>
    <xf numFmtId="164" fontId="4" fillId="0" borderId="0" xfId="0" applyFont="1" applyAlignment="1">
      <alignment horizontal="center"/>
    </xf>
    <xf numFmtId="0" fontId="4" fillId="0" borderId="0" xfId="0" applyNumberFormat="1" applyFont="1" applyFill="1" applyAlignment="1" applyProtection="1">
      <alignment horizontal="right"/>
      <protection locked="0"/>
    </xf>
    <xf numFmtId="164" fontId="7" fillId="0" borderId="0" xfId="0" applyFont="1" applyFill="1" applyBorder="1" applyAlignment="1">
      <alignment horizontal="center"/>
    </xf>
    <xf numFmtId="0" fontId="4" fillId="0" borderId="0" xfId="0" quotePrefix="1" applyNumberFormat="1" applyFont="1" applyFill="1" applyBorder="1" applyAlignment="1">
      <alignment horizontal="centerContinuous"/>
    </xf>
    <xf numFmtId="0" fontId="4" fillId="0" borderId="0" xfId="0" applyNumberFormat="1" applyFont="1" applyFill="1" applyAlignment="1" applyProtection="1">
      <alignment horizontal="centerContinuous"/>
      <protection locked="0"/>
    </xf>
    <xf numFmtId="0" fontId="4" fillId="0" borderId="0" xfId="0" applyNumberFormat="1" applyFont="1" applyFill="1" applyAlignment="1" applyProtection="1">
      <alignment horizontal="left"/>
      <protection locked="0"/>
    </xf>
    <xf numFmtId="3" fontId="4" fillId="0" borderId="0" xfId="0" applyNumberFormat="1" applyFont="1" applyFill="1" applyAlignment="1"/>
    <xf numFmtId="3" fontId="17" fillId="0" borderId="0" xfId="0" applyNumberFormat="1" applyFont="1" applyFill="1" applyAlignment="1">
      <alignment horizontal="centerContinuous"/>
    </xf>
    <xf numFmtId="164" fontId="4" fillId="0" borderId="0" xfId="0" applyFont="1" applyFill="1" applyAlignment="1">
      <alignment horizontal="centerContinuous"/>
    </xf>
    <xf numFmtId="18" fontId="4" fillId="0" borderId="0" xfId="0" applyNumberFormat="1" applyFont="1" applyFill="1" applyAlignment="1">
      <alignment horizontal="centerContinuous"/>
    </xf>
    <xf numFmtId="0" fontId="4" fillId="0" borderId="0" xfId="0" quotePrefix="1" applyNumberFormat="1" applyFont="1" applyFill="1" applyAlignment="1">
      <alignment horizontal="centerContinuous"/>
    </xf>
    <xf numFmtId="0" fontId="4" fillId="0" borderId="0" xfId="0" applyNumberFormat="1" applyFont="1" applyFill="1" applyAlignment="1">
      <alignment horizontal="centerContinuous" vertical="center"/>
    </xf>
    <xf numFmtId="164" fontId="4" fillId="0" borderId="0" xfId="0" applyFont="1" applyFill="1" applyAlignment="1" applyProtection="1">
      <alignment horizontal="centerContinuous"/>
      <protection locked="0"/>
    </xf>
    <xf numFmtId="18" fontId="4" fillId="0" borderId="0" xfId="0" quotePrefix="1" applyNumberFormat="1" applyFont="1" applyFill="1" applyAlignment="1">
      <alignment horizontal="centerContinuous"/>
    </xf>
    <xf numFmtId="3" fontId="4" fillId="0" borderId="0" xfId="0" applyNumberFormat="1" applyFont="1" applyFill="1" applyAlignment="1">
      <alignment horizontal="centerContinuous"/>
    </xf>
    <xf numFmtId="164" fontId="4" fillId="0" borderId="0" xfId="0" applyFont="1" applyFill="1" applyAlignment="1">
      <alignment horizontal="centerContinuous" wrapText="1"/>
    </xf>
    <xf numFmtId="18" fontId="4" fillId="0" borderId="0" xfId="0" applyNumberFormat="1" applyFont="1" applyFill="1" applyAlignment="1">
      <alignment horizontal="center"/>
    </xf>
    <xf numFmtId="15" fontId="4" fillId="0" borderId="0" xfId="0" applyNumberFormat="1" applyFont="1" applyFill="1" applyAlignment="1">
      <alignment horizontal="centerContinuous"/>
    </xf>
    <xf numFmtId="0" fontId="4" fillId="0" borderId="0" xfId="0" applyNumberFormat="1" applyFont="1" applyFill="1" applyBorder="1" applyAlignment="1">
      <alignment horizontal="centerContinuous"/>
    </xf>
    <xf numFmtId="164" fontId="7" fillId="0" borderId="0" xfId="0" applyFont="1" applyFill="1" applyAlignment="1">
      <alignment horizontal="centerContinuous"/>
    </xf>
    <xf numFmtId="164" fontId="9" fillId="0" borderId="0" xfId="0" applyFont="1" applyFill="1" applyAlignment="1">
      <alignment horizontal="centerContinuous"/>
    </xf>
    <xf numFmtId="170" fontId="4" fillId="0" borderId="6" xfId="0" applyNumberFormat="1" applyFont="1" applyFill="1" applyBorder="1" applyAlignment="1"/>
    <xf numFmtId="0" fontId="4" fillId="0" borderId="0" xfId="0" quotePrefix="1" applyNumberFormat="1" applyFont="1" applyFill="1" applyBorder="1" applyAlignment="1">
      <alignment horizontal="right"/>
    </xf>
    <xf numFmtId="0" fontId="4" fillId="0" borderId="0" xfId="0" applyNumberFormat="1" applyFont="1" applyFill="1" applyBorder="1" applyAlignment="1">
      <alignment horizontal="left"/>
    </xf>
    <xf numFmtId="170" fontId="4" fillId="0" borderId="6" xfId="0" applyNumberFormat="1" applyFont="1" applyFill="1" applyBorder="1" applyAlignment="1">
      <alignment horizontal="right"/>
    </xf>
    <xf numFmtId="164" fontId="4" fillId="0" borderId="0" xfId="0" applyFont="1" applyFill="1" applyAlignment="1">
      <alignment horizontal="right"/>
    </xf>
    <xf numFmtId="166" fontId="1" fillId="0" borderId="0" xfId="1" applyNumberFormat="1" applyFont="1" applyAlignment="1"/>
    <xf numFmtId="1" fontId="2" fillId="0" borderId="0" xfId="0" applyNumberFormat="1" applyFont="1" applyFill="1" applyAlignment="1">
      <alignment horizontal="center"/>
    </xf>
    <xf numFmtId="165" fontId="7" fillId="0" borderId="11" xfId="0" applyNumberFormat="1" applyFont="1" applyFill="1" applyBorder="1" applyAlignment="1"/>
    <xf numFmtId="164" fontId="3" fillId="0" borderId="0" xfId="0" applyFont="1" applyFill="1" applyAlignment="1">
      <alignment horizontal="right"/>
    </xf>
    <xf numFmtId="165" fontId="7" fillId="0" borderId="3" xfId="2" applyNumberFormat="1" applyFont="1" applyFill="1" applyBorder="1" applyAlignment="1"/>
    <xf numFmtId="166" fontId="7" fillId="0" borderId="0" xfId="0" applyNumberFormat="1" applyFont="1" applyFill="1" applyBorder="1" applyAlignment="1"/>
    <xf numFmtId="164" fontId="12" fillId="0" borderId="0" xfId="0" applyFont="1" applyFill="1" applyAlignment="1"/>
    <xf numFmtId="0" fontId="2" fillId="0" borderId="0" xfId="0" applyNumberFormat="1" applyFont="1" applyFill="1" applyBorder="1" applyAlignment="1" applyProtection="1">
      <alignment horizontal="left"/>
      <protection locked="0"/>
    </xf>
    <xf numFmtId="164" fontId="2" fillId="0" borderId="0" xfId="0" applyFont="1" applyFill="1" applyAlignment="1">
      <alignment horizontal="left" indent="1"/>
    </xf>
    <xf numFmtId="165" fontId="2" fillId="0" borderId="0" xfId="0" applyNumberFormat="1" applyFont="1" applyFill="1" applyBorder="1" applyAlignment="1" applyProtection="1">
      <alignment horizontal="left"/>
      <protection locked="0"/>
    </xf>
    <xf numFmtId="42" fontId="2" fillId="0" borderId="11" xfId="0" applyNumberFormat="1" applyFont="1" applyFill="1" applyBorder="1" applyAlignment="1"/>
    <xf numFmtId="9" fontId="2" fillId="0" borderId="0" xfId="0" applyNumberFormat="1" applyFont="1" applyFill="1" applyBorder="1" applyAlignment="1" applyProtection="1">
      <alignment horizontal="right"/>
      <protection locked="0"/>
    </xf>
    <xf numFmtId="37" fontId="2" fillId="0" borderId="0" xfId="0" applyNumberFormat="1" applyFont="1" applyFill="1" applyAlignment="1">
      <alignment horizontal="left"/>
    </xf>
    <xf numFmtId="165" fontId="2" fillId="0" borderId="11" xfId="0" applyNumberFormat="1" applyFont="1" applyFill="1" applyBorder="1" applyAlignment="1"/>
    <xf numFmtId="165" fontId="2" fillId="0" borderId="4" xfId="0" applyNumberFormat="1" applyFont="1" applyFill="1" applyBorder="1" applyAlignment="1" applyProtection="1">
      <alignment horizontal="left"/>
      <protection locked="0"/>
    </xf>
    <xf numFmtId="41" fontId="2" fillId="0" borderId="4" xfId="0" applyNumberFormat="1" applyFont="1" applyFill="1" applyBorder="1" applyAlignment="1" applyProtection="1">
      <alignment horizontal="left"/>
      <protection locked="0"/>
    </xf>
    <xf numFmtId="166" fontId="2" fillId="0" borderId="0" xfId="1" applyNumberFormat="1" applyFont="1" applyFill="1" applyBorder="1" applyAlignment="1" applyProtection="1">
      <alignment horizontal="left"/>
      <protection locked="0"/>
    </xf>
    <xf numFmtId="0" fontId="2" fillId="0" borderId="0" xfId="0" applyNumberFormat="1" applyFont="1" applyFill="1" applyBorder="1" applyAlignment="1">
      <alignment horizontal="right"/>
    </xf>
    <xf numFmtId="0" fontId="4" fillId="0" borderId="10" xfId="0" applyNumberFormat="1" applyFont="1" applyFill="1" applyBorder="1" applyAlignment="1">
      <alignment horizontal="centerContinuous" vertical="center" wrapText="1"/>
    </xf>
    <xf numFmtId="37" fontId="2" fillId="0" borderId="0" xfId="0" applyNumberFormat="1" applyFont="1" applyFill="1" applyAlignment="1" applyProtection="1">
      <alignment horizontal="left"/>
    </xf>
    <xf numFmtId="178" fontId="2" fillId="0" borderId="0" xfId="0" applyNumberFormat="1" applyFont="1" applyFill="1" applyAlignment="1" applyProtection="1"/>
    <xf numFmtId="0" fontId="0" fillId="0" borderId="0" xfId="0" applyNumberFormat="1" applyFill="1" applyAlignment="1"/>
    <xf numFmtId="0" fontId="2" fillId="0" borderId="0" xfId="0" applyNumberFormat="1" applyFont="1" applyFill="1" applyAlignment="1">
      <alignment horizontal="centerContinuous"/>
    </xf>
    <xf numFmtId="165" fontId="2" fillId="0" borderId="5" xfId="0" applyNumberFormat="1" applyFont="1" applyFill="1" applyBorder="1" applyAlignment="1" applyProtection="1">
      <alignment horizontal="left"/>
      <protection locked="0"/>
    </xf>
    <xf numFmtId="166" fontId="7" fillId="0" borderId="10" xfId="0" applyNumberFormat="1" applyFont="1" applyFill="1" applyBorder="1" applyAlignment="1"/>
    <xf numFmtId="37" fontId="2" fillId="0" borderId="0" xfId="0" applyNumberFormat="1" applyFont="1" applyFill="1" applyBorder="1" applyAlignment="1" applyProtection="1">
      <alignment horizontal="left"/>
    </xf>
    <xf numFmtId="166" fontId="2" fillId="0" borderId="0" xfId="0" quotePrefix="1" applyNumberFormat="1" applyFont="1" applyFill="1" applyBorder="1" applyAlignment="1"/>
    <xf numFmtId="166" fontId="2" fillId="0" borderId="0" xfId="0" quotePrefix="1" applyNumberFormat="1" applyFont="1" applyFill="1" applyBorder="1" applyAlignment="1">
      <alignment horizontal="centerContinuous"/>
    </xf>
    <xf numFmtId="37" fontId="2" fillId="0" borderId="0" xfId="0" applyNumberFormat="1" applyFont="1" applyFill="1" applyBorder="1" applyAlignment="1" applyProtection="1">
      <alignment horizontal="right"/>
    </xf>
    <xf numFmtId="10" fontId="2" fillId="0" borderId="0" xfId="0" applyNumberFormat="1" applyFont="1" applyFill="1" applyBorder="1" applyAlignment="1" applyProtection="1">
      <alignment horizontal="right"/>
    </xf>
    <xf numFmtId="0" fontId="2" fillId="0" borderId="0" xfId="0" applyNumberFormat="1" applyFont="1" applyFill="1" applyAlignment="1">
      <alignment horizontal="left" indent="5"/>
    </xf>
    <xf numFmtId="165" fontId="2" fillId="0" borderId="0" xfId="0" applyNumberFormat="1" applyFont="1" applyFill="1" applyAlignment="1"/>
    <xf numFmtId="41" fontId="4" fillId="0" borderId="0" xfId="0" applyNumberFormat="1" applyFont="1" applyFill="1" applyAlignment="1" applyProtection="1">
      <alignment horizontal="right"/>
      <protection locked="0"/>
    </xf>
    <xf numFmtId="164" fontId="19" fillId="0" borderId="0" xfId="0" applyFont="1" applyAlignment="1"/>
    <xf numFmtId="0" fontId="2" fillId="0" borderId="0" xfId="11" applyFont="1" applyFill="1" applyAlignment="1">
      <alignment horizontal="center"/>
    </xf>
    <xf numFmtId="37" fontId="2" fillId="0" borderId="0" xfId="0" applyNumberFormat="1" applyFont="1" applyFill="1" applyBorder="1" applyAlignment="1" applyProtection="1">
      <alignment horizontal="center"/>
    </xf>
    <xf numFmtId="166" fontId="2" fillId="0" borderId="0" xfId="1" applyNumberFormat="1" applyFont="1"/>
    <xf numFmtId="41" fontId="2" fillId="0" borderId="4" xfId="0" applyNumberFormat="1" applyFont="1" applyFill="1" applyBorder="1" applyAlignment="1" applyProtection="1">
      <alignment horizontal="right"/>
      <protection locked="0"/>
    </xf>
    <xf numFmtId="0" fontId="2" fillId="0" borderId="0" xfId="0" applyNumberFormat="1" applyFont="1" applyFill="1" applyBorder="1" applyAlignment="1" applyProtection="1">
      <alignment horizontal="left" indent="1"/>
      <protection locked="0"/>
    </xf>
    <xf numFmtId="4" fontId="2" fillId="0" borderId="0" xfId="0" applyNumberFormat="1" applyFont="1" applyFill="1" applyAlignment="1">
      <alignment horizontal="center"/>
    </xf>
    <xf numFmtId="0" fontId="8" fillId="0" borderId="0" xfId="0" applyNumberFormat="1" applyFont="1" applyAlignment="1"/>
    <xf numFmtId="164" fontId="12" fillId="0" borderId="0" xfId="0" applyFont="1" applyFill="1" applyBorder="1" applyAlignment="1">
      <alignment horizontal="left"/>
    </xf>
    <xf numFmtId="3" fontId="2" fillId="0" borderId="0" xfId="0" applyNumberFormat="1" applyFont="1" applyFill="1" applyAlignment="1">
      <alignment wrapText="1"/>
    </xf>
    <xf numFmtId="165" fontId="2" fillId="0" borderId="11" xfId="2" applyNumberFormat="1" applyFont="1" applyFill="1" applyBorder="1" applyAlignment="1"/>
    <xf numFmtId="166" fontId="7" fillId="0" borderId="0" xfId="0" applyNumberFormat="1" applyFont="1" applyFill="1" applyAlignment="1"/>
    <xf numFmtId="168" fontId="2" fillId="0" borderId="0" xfId="0" applyNumberFormat="1" applyFont="1" applyFill="1" applyBorder="1" applyAlignment="1"/>
    <xf numFmtId="0" fontId="12" fillId="0" borderId="0" xfId="0" applyNumberFormat="1" applyFont="1" applyFill="1" applyAlignment="1">
      <alignment horizontal="left"/>
    </xf>
    <xf numFmtId="165" fontId="2" fillId="0" borderId="0" xfId="2" applyNumberFormat="1" applyFont="1"/>
    <xf numFmtId="179" fontId="2" fillId="0" borderId="0" xfId="0" applyNumberFormat="1" applyFont="1" applyFill="1" applyAlignment="1"/>
    <xf numFmtId="42" fontId="7" fillId="0" borderId="3" xfId="0" applyNumberFormat="1" applyFont="1" applyBorder="1">
      <alignment horizontal="left" wrapText="1"/>
    </xf>
    <xf numFmtId="41" fontId="20" fillId="0" borderId="0" xfId="0" applyNumberFormat="1" applyFont="1">
      <alignment horizontal="left" wrapText="1"/>
    </xf>
    <xf numFmtId="164" fontId="16" fillId="0" borderId="0" xfId="0" applyFont="1" applyFill="1" applyAlignment="1">
      <alignment horizontal="left"/>
    </xf>
    <xf numFmtId="164" fontId="8" fillId="0" borderId="0" xfId="0" applyFont="1" applyFill="1" applyAlignment="1">
      <alignment horizontal="centerContinuous"/>
    </xf>
    <xf numFmtId="164" fontId="12" fillId="0" borderId="0" xfId="0" applyNumberFormat="1" applyFont="1" applyAlignment="1">
      <alignment horizontal="left"/>
    </xf>
    <xf numFmtId="166" fontId="2" fillId="0" borderId="10" xfId="0" applyNumberFormat="1" applyFont="1" applyFill="1" applyBorder="1" applyAlignment="1"/>
    <xf numFmtId="41" fontId="7" fillId="0" borderId="0" xfId="0" applyNumberFormat="1" applyFont="1">
      <alignment horizontal="left" wrapText="1"/>
    </xf>
    <xf numFmtId="41" fontId="2" fillId="0" borderId="0" xfId="0" applyNumberFormat="1" applyFont="1">
      <alignment horizontal="left" wrapText="1"/>
    </xf>
    <xf numFmtId="166" fontId="7" fillId="0" borderId="0" xfId="0" applyNumberFormat="1" applyFont="1" applyAlignment="1"/>
    <xf numFmtId="0" fontId="2" fillId="0" borderId="0" xfId="0" applyNumberFormat="1" applyFont="1" applyFill="1" applyAlignment="1">
      <alignment horizontal="right"/>
    </xf>
    <xf numFmtId="164" fontId="16" fillId="0" borderId="0" xfId="0" applyFont="1">
      <alignment horizontal="left" wrapText="1"/>
    </xf>
    <xf numFmtId="165" fontId="2" fillId="0" borderId="3" xfId="2" applyNumberFormat="1" applyFont="1" applyFill="1" applyBorder="1" applyAlignment="1"/>
    <xf numFmtId="0" fontId="16" fillId="0" borderId="0" xfId="19" applyFont="1" applyFill="1" applyBorder="1" applyAlignment="1">
      <alignment horizontal="left"/>
    </xf>
    <xf numFmtId="164" fontId="2" fillId="0" borderId="0" xfId="0" quotePrefix="1" applyFont="1" applyFill="1" applyAlignment="1"/>
    <xf numFmtId="165" fontId="7" fillId="0" borderId="3" xfId="0" applyNumberFormat="1" applyFont="1" applyFill="1" applyBorder="1" applyAlignment="1"/>
    <xf numFmtId="37" fontId="2" fillId="0" borderId="0" xfId="0" applyNumberFormat="1" applyFont="1" applyAlignment="1"/>
    <xf numFmtId="166" fontId="7" fillId="0" borderId="4" xfId="0" applyNumberFormat="1" applyFont="1" applyFill="1" applyBorder="1" applyAlignment="1"/>
    <xf numFmtId="9" fontId="2" fillId="0" borderId="0" xfId="0" applyNumberFormat="1" applyFont="1" applyFill="1" applyBorder="1" applyAlignment="1" applyProtection="1">
      <protection locked="0"/>
    </xf>
    <xf numFmtId="164" fontId="8" fillId="0" borderId="0" xfId="0" applyFont="1" applyFill="1" applyAlignment="1"/>
    <xf numFmtId="164" fontId="8" fillId="0" borderId="0" xfId="0" applyFont="1" applyAlignment="1"/>
    <xf numFmtId="168" fontId="2" fillId="0" borderId="0" xfId="0" applyNumberFormat="1" applyFont="1" applyAlignment="1" applyProtection="1">
      <protection locked="0"/>
    </xf>
    <xf numFmtId="165" fontId="7" fillId="0" borderId="0" xfId="2" applyNumberFormat="1" applyFont="1" applyBorder="1" applyAlignment="1">
      <alignment horizontal="left" wrapText="1"/>
    </xf>
    <xf numFmtId="165" fontId="2" fillId="0" borderId="0" xfId="2" applyNumberFormat="1" applyFont="1" applyBorder="1" applyAlignment="1">
      <alignment horizontal="left" wrapText="1"/>
    </xf>
    <xf numFmtId="164" fontId="16" fillId="0" borderId="0" xfId="0" applyFont="1" applyAlignment="1">
      <alignment horizontal="left" indent="2"/>
    </xf>
    <xf numFmtId="3" fontId="7" fillId="0" borderId="4" xfId="0" applyNumberFormat="1" applyFont="1" applyFill="1" applyBorder="1" applyAlignment="1"/>
    <xf numFmtId="168" fontId="2" fillId="0" borderId="0" xfId="0" applyNumberFormat="1" applyFont="1" applyAlignment="1" applyProtection="1">
      <alignment horizontal="center"/>
      <protection locked="0"/>
    </xf>
    <xf numFmtId="168" fontId="2" fillId="0" borderId="0" xfId="0" applyNumberFormat="1" applyFont="1" applyAlignment="1" applyProtection="1">
      <alignment horizontal="right"/>
      <protection locked="0"/>
    </xf>
    <xf numFmtId="164" fontId="21" fillId="0" borderId="0" xfId="0" applyFont="1">
      <alignment horizontal="left" wrapText="1"/>
    </xf>
    <xf numFmtId="164" fontId="12" fillId="0" borderId="0" xfId="0" applyFont="1" applyAlignment="1">
      <alignment horizontal="left"/>
    </xf>
    <xf numFmtId="168" fontId="2" fillId="0" borderId="0" xfId="0" applyNumberFormat="1" applyFont="1" applyBorder="1" applyAlignment="1" applyProtection="1">
      <alignment horizontal="center"/>
      <protection locked="0"/>
    </xf>
    <xf numFmtId="168" fontId="2" fillId="0" borderId="0" xfId="0" applyNumberFormat="1" applyFont="1" applyBorder="1" applyAlignment="1" applyProtection="1">
      <protection locked="0"/>
    </xf>
    <xf numFmtId="42" fontId="2" fillId="0" borderId="0" xfId="0" applyNumberFormat="1" applyFont="1" applyFill="1" applyBorder="1" applyAlignment="1">
      <alignment horizontal="left" wrapText="1"/>
    </xf>
    <xf numFmtId="164" fontId="2" fillId="0" borderId="0" xfId="0" applyNumberFormat="1" applyFont="1" applyAlignment="1">
      <alignment horizontal="left"/>
    </xf>
    <xf numFmtId="43" fontId="8" fillId="0" borderId="0" xfId="1" applyFont="1" applyFill="1" applyAlignment="1">
      <alignment horizontal="centerContinuous"/>
    </xf>
    <xf numFmtId="1" fontId="2" fillId="0" borderId="0" xfId="0" applyNumberFormat="1" applyFont="1" applyFill="1" applyAlignment="1">
      <alignment horizontal="left"/>
    </xf>
    <xf numFmtId="165" fontId="7" fillId="0" borderId="0" xfId="2" applyNumberFormat="1" applyFont="1" applyAlignment="1" applyProtection="1">
      <protection locked="0"/>
    </xf>
    <xf numFmtId="166" fontId="2" fillId="0" borderId="4" xfId="1" applyNumberFormat="1" applyFont="1" applyFill="1" applyBorder="1" applyAlignment="1">
      <alignment horizontal="left" wrapText="1"/>
    </xf>
    <xf numFmtId="164" fontId="4" fillId="0" borderId="0" xfId="0" applyNumberFormat="1" applyFont="1" applyFill="1" applyAlignment="1">
      <alignment horizontal="left"/>
    </xf>
    <xf numFmtId="166" fontId="2" fillId="0" borderId="0" xfId="1" applyNumberFormat="1" applyFont="1" applyFill="1" applyBorder="1" applyAlignment="1" applyProtection="1">
      <alignment horizontal="right"/>
    </xf>
    <xf numFmtId="0" fontId="2" fillId="0" borderId="0" xfId="0" applyNumberFormat="1" applyFont="1" applyFill="1" applyAlignment="1" applyProtection="1">
      <alignment horizontal="left"/>
      <protection locked="0"/>
    </xf>
    <xf numFmtId="164" fontId="2" fillId="0" borderId="0" xfId="0" applyNumberFormat="1" applyFont="1" applyAlignment="1"/>
    <xf numFmtId="41" fontId="7" fillId="0" borderId="5" xfId="0" applyNumberFormat="1" applyFont="1" applyBorder="1">
      <alignment horizontal="left" wrapText="1"/>
    </xf>
    <xf numFmtId="41" fontId="2" fillId="0" borderId="5" xfId="0" applyNumberFormat="1" applyFont="1" applyBorder="1">
      <alignment horizontal="left" wrapText="1"/>
    </xf>
    <xf numFmtId="42" fontId="2" fillId="0" borderId="0" xfId="11" applyNumberFormat="1" applyFont="1" applyFill="1"/>
    <xf numFmtId="164" fontId="2" fillId="0" borderId="0" xfId="0" applyFont="1" applyAlignment="1">
      <alignment horizontal="left" indent="2"/>
    </xf>
    <xf numFmtId="165" fontId="7" fillId="0" borderId="4" xfId="2" applyNumberFormat="1" applyFont="1" applyFill="1" applyBorder="1" applyAlignment="1"/>
    <xf numFmtId="41" fontId="7" fillId="0" borderId="0" xfId="0" applyNumberFormat="1" applyFont="1" applyFill="1" applyBorder="1" applyAlignment="1"/>
    <xf numFmtId="41" fontId="23" fillId="0" borderId="0" xfId="0" applyNumberFormat="1" applyFont="1" applyFill="1" applyBorder="1" applyAlignment="1">
      <alignment horizontal="left" wrapText="1"/>
    </xf>
    <xf numFmtId="41" fontId="8" fillId="0" borderId="0" xfId="0" applyNumberFormat="1" applyFont="1" applyFill="1" applyBorder="1" applyAlignment="1">
      <alignment horizontal="left" wrapText="1"/>
    </xf>
    <xf numFmtId="164" fontId="11" fillId="0" borderId="0" xfId="0" applyNumberFormat="1" applyFont="1" applyFill="1" applyAlignment="1">
      <alignment horizontal="left"/>
    </xf>
    <xf numFmtId="42" fontId="2" fillId="0" borderId="3" xfId="11" applyNumberFormat="1" applyFont="1" applyFill="1" applyBorder="1"/>
    <xf numFmtId="42" fontId="7" fillId="0" borderId="0" xfId="0" applyNumberFormat="1" applyFont="1" applyFill="1" applyAlignment="1"/>
    <xf numFmtId="41" fontId="2" fillId="0" borderId="0" xfId="18" applyNumberFormat="1" applyFont="1" applyFill="1"/>
    <xf numFmtId="164" fontId="2" fillId="0" borderId="0" xfId="0" applyFont="1" applyFill="1" applyBorder="1" applyAlignment="1">
      <alignment horizontal="left" indent="1"/>
    </xf>
    <xf numFmtId="37" fontId="2" fillId="0" borderId="0" xfId="0" applyNumberFormat="1" applyFont="1" applyFill="1" applyBorder="1" applyAlignment="1">
      <alignment horizontal="left" indent="1"/>
    </xf>
    <xf numFmtId="166" fontId="2" fillId="0" borderId="0" xfId="0" applyNumberFormat="1" applyFont="1" applyFill="1" applyBorder="1" applyAlignment="1">
      <alignment horizontal="center"/>
    </xf>
    <xf numFmtId="42" fontId="7" fillId="0" borderId="4" xfId="0" applyNumberFormat="1" applyFont="1" applyBorder="1" applyAlignment="1" applyProtection="1">
      <protection locked="0"/>
    </xf>
    <xf numFmtId="42" fontId="2" fillId="0" borderId="0" xfId="0" applyNumberFormat="1" applyFont="1" applyFill="1" applyBorder="1" applyAlignment="1" applyProtection="1">
      <alignment horizontal="right"/>
    </xf>
    <xf numFmtId="164" fontId="2" fillId="0" borderId="0" xfId="0" applyFont="1" applyFill="1" applyAlignment="1">
      <alignment horizontal="left" indent="2"/>
    </xf>
    <xf numFmtId="179" fontId="2" fillId="0" borderId="5" xfId="0" applyNumberFormat="1" applyFont="1" applyFill="1" applyBorder="1" applyAlignment="1">
      <alignment horizontal="center"/>
    </xf>
    <xf numFmtId="42" fontId="7" fillId="0" borderId="0" xfId="0" applyNumberFormat="1" applyFont="1">
      <alignment horizontal="left" wrapText="1"/>
    </xf>
    <xf numFmtId="42" fontId="2" fillId="0" borderId="0" xfId="0" applyNumberFormat="1" applyFont="1">
      <alignment horizontal="left" wrapText="1"/>
    </xf>
    <xf numFmtId="3" fontId="2" fillId="0" borderId="0" xfId="0" applyNumberFormat="1" applyFont="1" applyFill="1" applyBorder="1" applyAlignment="1" applyProtection="1">
      <protection locked="0"/>
    </xf>
    <xf numFmtId="0" fontId="2" fillId="0" borderId="4" xfId="0" applyNumberFormat="1" applyFont="1" applyFill="1" applyBorder="1" applyAlignment="1" applyProtection="1">
      <alignment horizontal="left"/>
      <protection locked="0"/>
    </xf>
    <xf numFmtId="164" fontId="12" fillId="0" borderId="0" xfId="0" applyFont="1" applyFill="1" applyAlignment="1">
      <alignment horizontal="left"/>
    </xf>
    <xf numFmtId="169" fontId="2" fillId="0" borderId="0" xfId="0" applyNumberFormat="1" applyFont="1" applyAlignment="1"/>
    <xf numFmtId="165" fontId="7" fillId="0" borderId="0" xfId="2" applyNumberFormat="1" applyFont="1" applyFill="1" applyBorder="1" applyAlignment="1"/>
    <xf numFmtId="164" fontId="2" fillId="0" borderId="0" xfId="0" applyNumberFormat="1" applyFont="1" applyFill="1" applyAlignment="1">
      <alignment horizontal="left" wrapText="1"/>
    </xf>
    <xf numFmtId="164" fontId="11" fillId="0" borderId="0" xfId="0" applyNumberFormat="1" applyFont="1" applyAlignment="1">
      <alignment horizontal="left"/>
    </xf>
    <xf numFmtId="42" fontId="2" fillId="0" borderId="0" xfId="0" applyNumberFormat="1" applyFont="1" applyFill="1" applyBorder="1" applyAlignment="1" applyProtection="1">
      <alignment horizontal="center"/>
      <protection locked="0"/>
    </xf>
    <xf numFmtId="168" fontId="2" fillId="0" borderId="0" xfId="0" applyNumberFormat="1" applyFont="1" applyFill="1" applyAlignment="1" applyProtection="1">
      <alignment horizontal="left"/>
      <protection locked="0"/>
    </xf>
    <xf numFmtId="3" fontId="7" fillId="0" borderId="0" xfId="0" applyNumberFormat="1" applyFont="1" applyFill="1" applyAlignment="1"/>
    <xf numFmtId="9" fontId="4" fillId="0" borderId="5" xfId="0" applyNumberFormat="1" applyFont="1" applyFill="1" applyBorder="1" applyAlignment="1">
      <alignment horizontal="center"/>
    </xf>
    <xf numFmtId="164" fontId="4" fillId="0" borderId="5" xfId="0" applyFont="1" applyFill="1" applyBorder="1">
      <alignment horizontal="left" wrapText="1"/>
    </xf>
    <xf numFmtId="0" fontId="4" fillId="0" borderId="5" xfId="0" quotePrefix="1" applyNumberFormat="1" applyFont="1" applyFill="1" applyBorder="1" applyAlignment="1">
      <alignment horizontal="center"/>
    </xf>
    <xf numFmtId="0" fontId="4" fillId="0" borderId="0" xfId="0" applyNumberFormat="1" applyFont="1" applyAlignment="1">
      <alignment horizontal="center"/>
    </xf>
    <xf numFmtId="168" fontId="4" fillId="0" borderId="0" xfId="0" applyNumberFormat="1" applyFont="1" applyFill="1" applyAlignment="1"/>
    <xf numFmtId="164" fontId="4" fillId="0" borderId="0" xfId="0" applyFont="1" applyFill="1">
      <alignment horizontal="left" wrapText="1"/>
    </xf>
    <xf numFmtId="10" fontId="4" fillId="0" borderId="0" xfId="0" applyNumberFormat="1" applyFont="1" applyFill="1" applyAlignment="1">
      <alignment horizontal="center"/>
    </xf>
    <xf numFmtId="42" fontId="4" fillId="0" borderId="0" xfId="0" applyNumberFormat="1" applyFont="1" applyFill="1" applyAlignment="1" applyProtection="1">
      <alignment horizontal="center"/>
      <protection locked="0"/>
    </xf>
    <xf numFmtId="0" fontId="7" fillId="0" borderId="0" xfId="0" applyNumberFormat="1" applyFont="1" applyFill="1" applyAlignment="1">
      <alignment horizontal="centerContinuous"/>
    </xf>
    <xf numFmtId="164" fontId="4" fillId="0" borderId="0" xfId="0" applyFont="1" applyFill="1" applyAlignment="1" applyProtection="1">
      <alignment horizontal="centerContinuous" vertical="center"/>
      <protection locked="0"/>
    </xf>
    <xf numFmtId="0" fontId="4" fillId="0" borderId="0" xfId="0" applyNumberFormat="1" applyFont="1" applyAlignment="1">
      <alignment horizontal="right"/>
    </xf>
    <xf numFmtId="2" fontId="4" fillId="0" borderId="0" xfId="0" applyNumberFormat="1" applyFont="1" applyFill="1" applyAlignment="1"/>
    <xf numFmtId="180" fontId="4" fillId="0" borderId="0" xfId="0" applyNumberFormat="1" applyFont="1" applyFill="1" applyBorder="1" applyAlignment="1"/>
    <xf numFmtId="15" fontId="4" fillId="0" borderId="0" xfId="0" applyNumberFormat="1" applyFont="1" applyFill="1" applyAlignment="1"/>
    <xf numFmtId="2" fontId="2" fillId="0" borderId="0" xfId="0" applyNumberFormat="1" applyFont="1" applyFill="1" applyAlignment="1"/>
    <xf numFmtId="10" fontId="3" fillId="0" borderId="0" xfId="0" applyNumberFormat="1" applyFont="1" applyAlignment="1"/>
    <xf numFmtId="42" fontId="3" fillId="0" borderId="0" xfId="0" applyNumberFormat="1" applyFont="1" applyAlignment="1"/>
    <xf numFmtId="0" fontId="3" fillId="0" borderId="5" xfId="0" applyNumberFormat="1" applyFont="1" applyBorder="1" applyAlignment="1">
      <alignment horizontal="center"/>
    </xf>
    <xf numFmtId="0" fontId="5" fillId="0" borderId="5" xfId="0" applyNumberFormat="1" applyFont="1" applyBorder="1" applyAlignment="1"/>
    <xf numFmtId="43" fontId="3" fillId="0" borderId="0" xfId="1" applyFont="1" applyAlignment="1"/>
    <xf numFmtId="0" fontId="3" fillId="0" borderId="0" xfId="0" applyNumberFormat="1" applyFont="1" applyBorder="1" applyAlignment="1">
      <alignment horizontal="center"/>
    </xf>
    <xf numFmtId="181" fontId="3" fillId="0" borderId="0" xfId="0" applyNumberFormat="1" applyFont="1" applyAlignment="1"/>
    <xf numFmtId="182" fontId="3" fillId="0" borderId="0" xfId="0" applyNumberFormat="1" applyFont="1" applyAlignment="1"/>
    <xf numFmtId="168" fontId="3" fillId="0" borderId="0" xfId="0" applyNumberFormat="1" applyFont="1" applyAlignment="1"/>
    <xf numFmtId="0" fontId="3" fillId="0" borderId="5" xfId="0" applyNumberFormat="1" applyFont="1" applyBorder="1" applyAlignment="1"/>
    <xf numFmtId="0" fontId="3" fillId="0" borderId="0" xfId="0" applyNumberFormat="1" applyFont="1" applyAlignment="1">
      <alignment wrapText="1"/>
    </xf>
    <xf numFmtId="164" fontId="7" fillId="0" borderId="0" xfId="0" applyFont="1" applyFill="1" applyBorder="1" applyAlignment="1">
      <alignment horizontal="left" vertical="center"/>
    </xf>
    <xf numFmtId="10" fontId="2" fillId="0" borderId="0" xfId="0" applyNumberFormat="1" applyFont="1" applyFill="1" applyBorder="1" applyAlignment="1"/>
    <xf numFmtId="164" fontId="2" fillId="0" borderId="3" xfId="0" applyNumberFormat="1" applyFont="1" applyFill="1" applyBorder="1" applyAlignment="1" applyProtection="1">
      <protection locked="0"/>
    </xf>
    <xf numFmtId="10" fontId="2" fillId="0" borderId="4" xfId="0" applyNumberFormat="1" applyFont="1" applyFill="1" applyBorder="1" applyAlignment="1"/>
    <xf numFmtId="166" fontId="2" fillId="0" borderId="5" xfId="1" applyNumberFormat="1" applyFont="1" applyFill="1" applyBorder="1" applyAlignment="1">
      <alignment horizontal="right"/>
    </xf>
    <xf numFmtId="181" fontId="2" fillId="0" borderId="5" xfId="0" applyNumberFormat="1" applyFont="1" applyFill="1" applyBorder="1" applyAlignment="1" applyProtection="1">
      <protection locked="0"/>
    </xf>
    <xf numFmtId="166" fontId="2" fillId="0" borderId="0" xfId="1" applyNumberFormat="1" applyFont="1" applyFill="1" applyAlignment="1">
      <alignment horizontal="right"/>
    </xf>
    <xf numFmtId="164" fontId="2" fillId="0" borderId="5" xfId="0" applyNumberFormat="1" applyFont="1" applyFill="1" applyBorder="1" applyAlignment="1"/>
    <xf numFmtId="174" fontId="2" fillId="0" borderId="0" xfId="0" applyNumberFormat="1" applyFont="1" applyFill="1" applyAlignment="1"/>
    <xf numFmtId="0" fontId="5" fillId="0" borderId="0" xfId="0" applyNumberFormat="1" applyFont="1" applyFill="1" applyAlignment="1"/>
    <xf numFmtId="10" fontId="2" fillId="0" borderId="5" xfId="0" applyNumberFormat="1" applyFont="1" applyFill="1" applyBorder="1" applyAlignment="1"/>
    <xf numFmtId="0" fontId="2" fillId="0" borderId="0" xfId="0" applyNumberFormat="1" applyFont="1" applyFill="1" applyAlignment="1" applyProtection="1">
      <alignment horizontal="centerContinuous"/>
      <protection locked="0"/>
    </xf>
    <xf numFmtId="0" fontId="3" fillId="0" borderId="0" xfId="0" applyNumberFormat="1" applyFont="1" applyFill="1" applyBorder="1" applyAlignment="1"/>
    <xf numFmtId="170" fontId="4" fillId="0" borderId="0" xfId="0" applyNumberFormat="1" applyFont="1" applyFill="1" applyBorder="1" applyAlignment="1"/>
    <xf numFmtId="0" fontId="2" fillId="0" borderId="0" xfId="0" applyNumberFormat="1" applyFont="1" applyFill="1" applyBorder="1" applyAlignment="1">
      <alignment horizontal="centerContinuous"/>
    </xf>
    <xf numFmtId="0" fontId="17" fillId="0" borderId="0" xfId="0" applyNumberFormat="1" applyFont="1" applyFill="1" applyBorder="1" applyAlignment="1">
      <alignment horizontal="centerContinuous"/>
    </xf>
    <xf numFmtId="2" fontId="25" fillId="0" borderId="0" xfId="0" applyNumberFormat="1" applyFont="1" applyAlignment="1">
      <alignment horizontal="center"/>
    </xf>
    <xf numFmtId="10" fontId="2" fillId="0" borderId="12" xfId="0" applyNumberFormat="1" applyFont="1" applyFill="1" applyBorder="1" applyAlignment="1"/>
    <xf numFmtId="10" fontId="3" fillId="0" borderId="10" xfId="0" applyNumberFormat="1" applyFont="1" applyBorder="1" applyAlignment="1"/>
    <xf numFmtId="10" fontId="3" fillId="0" borderId="13" xfId="0" applyNumberFormat="1" applyFont="1" applyBorder="1" applyAlignment="1"/>
    <xf numFmtId="10" fontId="2" fillId="0" borderId="14" xfId="0" applyNumberFormat="1" applyFont="1" applyFill="1" applyBorder="1" applyAlignment="1"/>
    <xf numFmtId="10" fontId="3" fillId="0" borderId="0" xfId="3" applyNumberFormat="1" applyFont="1" applyBorder="1" applyAlignment="1"/>
    <xf numFmtId="10" fontId="3" fillId="0" borderId="0" xfId="0" applyNumberFormat="1" applyFont="1" applyBorder="1" applyAlignment="1"/>
    <xf numFmtId="10" fontId="3" fillId="0" borderId="15" xfId="0" applyNumberFormat="1" applyFont="1" applyBorder="1" applyAlignment="1"/>
    <xf numFmtId="0" fontId="3" fillId="0" borderId="16" xfId="0" applyNumberFormat="1" applyFont="1" applyBorder="1" applyAlignment="1"/>
    <xf numFmtId="0" fontId="3" fillId="0" borderId="4" xfId="0" applyNumberFormat="1" applyFont="1" applyBorder="1" applyAlignment="1"/>
    <xf numFmtId="0" fontId="26" fillId="0" borderId="17" xfId="0" applyNumberFormat="1" applyFont="1" applyBorder="1" applyAlignment="1"/>
    <xf numFmtId="0" fontId="3" fillId="0" borderId="13" xfId="0" applyNumberFormat="1" applyFont="1" applyBorder="1" applyAlignment="1"/>
    <xf numFmtId="0" fontId="5" fillId="0" borderId="15" xfId="0" applyNumberFormat="1" applyFont="1" applyBorder="1" applyAlignment="1"/>
    <xf numFmtId="0" fontId="27" fillId="0" borderId="17" xfId="0" applyNumberFormat="1" applyFont="1" applyBorder="1" applyAlignment="1">
      <alignment horizontal="center"/>
    </xf>
    <xf numFmtId="166" fontId="3" fillId="0" borderId="0" xfId="0" applyNumberFormat="1" applyFont="1" applyBorder="1" applyAlignment="1"/>
    <xf numFmtId="0" fontId="5" fillId="0" borderId="0" xfId="0" applyNumberFormat="1" applyFont="1" applyBorder="1" applyAlignment="1"/>
    <xf numFmtId="0" fontId="3" fillId="0" borderId="19" xfId="0" applyNumberFormat="1" applyFont="1" applyBorder="1" applyAlignment="1"/>
    <xf numFmtId="10" fontId="5" fillId="0" borderId="20" xfId="20" applyNumberFormat="1" applyFont="1" applyBorder="1" applyAlignment="1"/>
    <xf numFmtId="10" fontId="3" fillId="0" borderId="20" xfId="3" applyNumberFormat="1" applyFont="1" applyBorder="1" applyAlignment="1"/>
    <xf numFmtId="166" fontId="5" fillId="0" borderId="20" xfId="0" applyNumberFormat="1" applyFont="1" applyBorder="1" applyAlignment="1"/>
    <xf numFmtId="0" fontId="3" fillId="0" borderId="12" xfId="0" applyNumberFormat="1" applyFont="1" applyBorder="1" applyAlignment="1"/>
    <xf numFmtId="2" fontId="25" fillId="0" borderId="10" xfId="0" applyNumberFormat="1" applyFont="1" applyBorder="1" applyAlignment="1">
      <alignment horizontal="center"/>
    </xf>
    <xf numFmtId="0" fontId="5" fillId="0" borderId="22" xfId="0" applyNumberFormat="1" applyFont="1" applyBorder="1" applyAlignment="1"/>
    <xf numFmtId="0" fontId="5" fillId="0" borderId="23" xfId="0" applyNumberFormat="1" applyFont="1" applyBorder="1" applyAlignment="1"/>
    <xf numFmtId="166" fontId="27" fillId="0" borderId="0" xfId="21" applyNumberFormat="1" applyFont="1" applyBorder="1"/>
    <xf numFmtId="166" fontId="27" fillId="0" borderId="0" xfId="22" applyNumberFormat="1" applyFont="1" applyBorder="1"/>
    <xf numFmtId="10" fontId="27" fillId="0" borderId="24" xfId="22" applyNumberFormat="1" applyFont="1" applyBorder="1"/>
    <xf numFmtId="166" fontId="27" fillId="0" borderId="25" xfId="21" applyNumberFormat="1" applyFont="1" applyBorder="1"/>
    <xf numFmtId="166" fontId="27" fillId="0" borderId="26" xfId="21" applyNumberFormat="1" applyFont="1" applyBorder="1"/>
    <xf numFmtId="166" fontId="27" fillId="0" borderId="10" xfId="1" applyNumberFormat="1" applyFont="1" applyBorder="1"/>
    <xf numFmtId="166" fontId="29" fillId="0" borderId="6" xfId="21" applyNumberFormat="1" applyFont="1" applyBorder="1"/>
    <xf numFmtId="166" fontId="27" fillId="0" borderId="10" xfId="21" applyNumberFormat="1" applyFont="1" applyBorder="1"/>
    <xf numFmtId="2" fontId="30" fillId="0" borderId="10" xfId="21" applyNumberFormat="1" applyFont="1" applyBorder="1" applyAlignment="1">
      <alignment horizontal="center"/>
    </xf>
    <xf numFmtId="0" fontId="31" fillId="0" borderId="27" xfId="0" applyNumberFormat="1" applyFont="1" applyBorder="1" applyAlignment="1"/>
    <xf numFmtId="43" fontId="31" fillId="0" borderId="28" xfId="21" applyFont="1" applyBorder="1"/>
    <xf numFmtId="0" fontId="27" fillId="0" borderId="0" xfId="0" applyNumberFormat="1" applyFont="1" applyAlignment="1"/>
    <xf numFmtId="166" fontId="27" fillId="0" borderId="12" xfId="21" applyNumberFormat="1" applyFont="1" applyBorder="1"/>
    <xf numFmtId="166" fontId="27" fillId="0" borderId="10" xfId="22" applyNumberFormat="1" applyFont="1" applyBorder="1"/>
    <xf numFmtId="2" fontId="30" fillId="0" borderId="12" xfId="21" applyNumberFormat="1" applyFont="1" applyBorder="1" applyAlignment="1">
      <alignment horizontal="center"/>
    </xf>
    <xf numFmtId="0" fontId="31" fillId="0" borderId="29" xfId="0" applyNumberFormat="1" applyFont="1" applyBorder="1" applyAlignment="1"/>
    <xf numFmtId="43" fontId="31" fillId="0" borderId="26" xfId="21" applyFont="1" applyBorder="1"/>
    <xf numFmtId="10" fontId="27" fillId="0" borderId="29" xfId="0" applyNumberFormat="1" applyFont="1" applyBorder="1" applyAlignment="1"/>
    <xf numFmtId="166" fontId="27" fillId="0" borderId="30" xfId="21" applyNumberFormat="1" applyFont="1" applyBorder="1"/>
    <xf numFmtId="166" fontId="27" fillId="0" borderId="12" xfId="0" applyNumberFormat="1" applyFont="1" applyBorder="1" applyAlignment="1"/>
    <xf numFmtId="10" fontId="27" fillId="0" borderId="29" xfId="22" applyNumberFormat="1" applyFont="1" applyBorder="1"/>
    <xf numFmtId="166" fontId="18" fillId="0" borderId="31" xfId="21" applyNumberFormat="1" applyFont="1" applyFill="1" applyBorder="1" applyAlignment="1"/>
    <xf numFmtId="166" fontId="27" fillId="0" borderId="31" xfId="21" applyNumberFormat="1" applyFont="1" applyBorder="1"/>
    <xf numFmtId="10" fontId="27" fillId="0" borderId="10" xfId="22" applyNumberFormat="1" applyFont="1" applyBorder="1"/>
    <xf numFmtId="0" fontId="27" fillId="0" borderId="29" xfId="0" applyNumberFormat="1" applyFont="1" applyBorder="1" applyAlignment="1"/>
    <xf numFmtId="43" fontId="27" fillId="0" borderId="26" xfId="21" applyFont="1" applyBorder="1"/>
    <xf numFmtId="43" fontId="27" fillId="0" borderId="26" xfId="21" applyFont="1" applyBorder="1" applyAlignment="1">
      <alignment horizontal="right"/>
    </xf>
    <xf numFmtId="0" fontId="32" fillId="0" borderId="29" xfId="0" applyNumberFormat="1" applyFont="1" applyBorder="1" applyAlignment="1">
      <alignment horizontal="center"/>
    </xf>
    <xf numFmtId="166" fontId="27" fillId="0" borderId="12" xfId="1" applyNumberFormat="1" applyFont="1" applyBorder="1" applyAlignment="1"/>
    <xf numFmtId="10" fontId="5" fillId="0" borderId="22" xfId="0" applyNumberFormat="1" applyFont="1" applyBorder="1" applyAlignment="1"/>
    <xf numFmtId="0" fontId="3" fillId="0" borderId="20" xfId="0" applyNumberFormat="1" applyFont="1" applyBorder="1" applyAlignment="1"/>
    <xf numFmtId="10" fontId="3" fillId="0" borderId="32" xfId="0" applyNumberFormat="1" applyFont="1" applyBorder="1" applyAlignment="1"/>
    <xf numFmtId="0" fontId="3" fillId="0" borderId="21" xfId="0" applyNumberFormat="1" applyFont="1" applyBorder="1" applyAlignment="1"/>
    <xf numFmtId="10" fontId="3" fillId="0" borderId="33" xfId="0" applyNumberFormat="1" applyFont="1" applyBorder="1" applyAlignment="1"/>
    <xf numFmtId="0" fontId="3" fillId="0" borderId="34" xfId="0" applyNumberFormat="1" applyFont="1" applyBorder="1" applyAlignment="1"/>
    <xf numFmtId="0" fontId="27" fillId="0" borderId="12" xfId="0" applyNumberFormat="1" applyFont="1" applyBorder="1" applyAlignment="1"/>
    <xf numFmtId="0" fontId="3" fillId="0" borderId="33" xfId="0" applyNumberFormat="1" applyFont="1" applyBorder="1" applyAlignment="1">
      <alignment horizontal="center" wrapText="1"/>
    </xf>
    <xf numFmtId="0" fontId="33" fillId="0" borderId="33" xfId="0" applyNumberFormat="1" applyFont="1" applyBorder="1" applyAlignment="1">
      <alignment horizontal="center" vertical="center" wrapText="1"/>
    </xf>
    <xf numFmtId="0" fontId="5" fillId="0" borderId="34" xfId="0" applyNumberFormat="1" applyFont="1" applyBorder="1" applyAlignment="1"/>
    <xf numFmtId="0" fontId="3" fillId="0" borderId="33" xfId="0" applyNumberFormat="1" applyFont="1" applyBorder="1" applyAlignment="1"/>
    <xf numFmtId="10" fontId="5" fillId="0" borderId="35" xfId="0" applyNumberFormat="1" applyFont="1" applyBorder="1" applyAlignment="1"/>
    <xf numFmtId="10" fontId="3" fillId="0" borderId="3" xfId="0" applyNumberFormat="1" applyFont="1" applyBorder="1" applyAlignment="1"/>
    <xf numFmtId="166" fontId="18" fillId="0" borderId="26" xfId="21" applyNumberFormat="1" applyFont="1" applyBorder="1"/>
    <xf numFmtId="0" fontId="3" fillId="0" borderId="36" xfId="0" applyNumberFormat="1" applyFont="1" applyBorder="1" applyAlignment="1"/>
    <xf numFmtId="0" fontId="3" fillId="0" borderId="37" xfId="0" applyNumberFormat="1" applyFont="1" applyBorder="1" applyAlignment="1"/>
    <xf numFmtId="0" fontId="5" fillId="0" borderId="6" xfId="0" applyNumberFormat="1" applyFont="1" applyBorder="1" applyAlignment="1"/>
    <xf numFmtId="0" fontId="27" fillId="0" borderId="26" xfId="0" applyNumberFormat="1" applyFont="1" applyBorder="1" applyAlignment="1"/>
    <xf numFmtId="0" fontId="27" fillId="0" borderId="0" xfId="0" applyNumberFormat="1" applyFont="1" applyBorder="1" applyAlignment="1"/>
    <xf numFmtId="0" fontId="27" fillId="0" borderId="33" xfId="0" applyNumberFormat="1" applyFont="1" applyBorder="1" applyAlignment="1"/>
    <xf numFmtId="0" fontId="27" fillId="0" borderId="34" xfId="0" applyNumberFormat="1" applyFont="1" applyBorder="1" applyAlignment="1"/>
    <xf numFmtId="166" fontId="27" fillId="0" borderId="0" xfId="1" applyNumberFormat="1" applyFont="1" applyBorder="1" applyAlignment="1"/>
    <xf numFmtId="2" fontId="30" fillId="0" borderId="0" xfId="0" applyNumberFormat="1" applyFont="1" applyAlignment="1">
      <alignment horizontal="center"/>
    </xf>
    <xf numFmtId="0" fontId="3" fillId="0" borderId="33" xfId="0" applyNumberFormat="1" applyFont="1" applyBorder="1" applyAlignment="1">
      <alignment horizontal="center" wrapText="1" shrinkToFit="1"/>
    </xf>
    <xf numFmtId="0" fontId="34" fillId="0" borderId="2" xfId="0" applyNumberFormat="1" applyFont="1" applyFill="1" applyBorder="1" applyAlignment="1">
      <alignment horizontal="center"/>
    </xf>
    <xf numFmtId="0" fontId="34" fillId="0" borderId="5" xfId="0" applyNumberFormat="1" applyFont="1" applyFill="1" applyBorder="1" applyAlignment="1">
      <alignment horizontal="center"/>
    </xf>
    <xf numFmtId="0" fontId="34" fillId="0" borderId="38" xfId="0" applyNumberFormat="1" applyFont="1" applyFill="1" applyBorder="1" applyAlignment="1">
      <alignment horizontal="center"/>
    </xf>
    <xf numFmtId="0" fontId="34" fillId="0" borderId="39" xfId="0" applyNumberFormat="1" applyFont="1" applyFill="1" applyBorder="1" applyAlignment="1">
      <alignment horizontal="center"/>
    </xf>
    <xf numFmtId="0" fontId="34" fillId="0" borderId="13" xfId="0" applyNumberFormat="1" applyFont="1" applyFill="1" applyBorder="1" applyAlignment="1">
      <alignment horizontal="center"/>
    </xf>
    <xf numFmtId="0" fontId="34" fillId="0" borderId="2" xfId="0" applyNumberFormat="1" applyFont="1" applyBorder="1" applyAlignment="1">
      <alignment horizontal="center"/>
    </xf>
    <xf numFmtId="0" fontId="34" fillId="0" borderId="39" xfId="0" applyNumberFormat="1" applyFont="1" applyBorder="1" applyAlignment="1">
      <alignment horizontal="center"/>
    </xf>
    <xf numFmtId="0" fontId="34" fillId="0" borderId="13" xfId="0" applyNumberFormat="1" applyFont="1" applyBorder="1" applyAlignment="1">
      <alignment horizontal="center"/>
    </xf>
    <xf numFmtId="2" fontId="35" fillId="0" borderId="18" xfId="0" applyNumberFormat="1" applyFont="1" applyBorder="1" applyAlignment="1">
      <alignment horizontal="center"/>
    </xf>
    <xf numFmtId="0" fontId="34" fillId="0" borderId="38" xfId="0" applyNumberFormat="1" applyFont="1" applyBorder="1" applyAlignment="1">
      <alignment horizontal="center"/>
    </xf>
    <xf numFmtId="0" fontId="27" fillId="0" borderId="14" xfId="0" applyNumberFormat="1" applyFont="1" applyBorder="1" applyAlignment="1">
      <alignment horizontal="center"/>
    </xf>
    <xf numFmtId="0" fontId="27" fillId="0" borderId="40" xfId="0" applyNumberFormat="1" applyFont="1" applyBorder="1" applyAlignment="1">
      <alignment horizontal="center"/>
    </xf>
    <xf numFmtId="0" fontId="27" fillId="0" borderId="1" xfId="0" quotePrefix="1" applyNumberFormat="1" applyFont="1" applyFill="1" applyBorder="1" applyAlignment="1">
      <alignment horizontal="center"/>
    </xf>
    <xf numFmtId="0" fontId="27" fillId="0" borderId="1" xfId="0" applyNumberFormat="1" applyFont="1" applyBorder="1" applyAlignment="1">
      <alignment horizontal="center"/>
    </xf>
    <xf numFmtId="0" fontId="27" fillId="0" borderId="41" xfId="0" applyNumberFormat="1" applyFont="1" applyBorder="1" applyAlignment="1">
      <alignment horizontal="center"/>
    </xf>
    <xf numFmtId="0" fontId="27" fillId="0" borderId="15" xfId="0" quotePrefix="1" applyNumberFormat="1" applyFont="1" applyBorder="1" applyAlignment="1">
      <alignment horizontal="center"/>
    </xf>
    <xf numFmtId="166" fontId="27" fillId="0" borderId="0" xfId="1" applyNumberFormat="1" applyFont="1" applyBorder="1" applyAlignment="1">
      <alignment horizontal="center"/>
    </xf>
    <xf numFmtId="0" fontId="27" fillId="0" borderId="15" xfId="0" applyNumberFormat="1" applyFont="1" applyBorder="1" applyAlignment="1">
      <alignment horizontal="center"/>
    </xf>
    <xf numFmtId="2" fontId="30" fillId="0" borderId="14" xfId="0" applyNumberFormat="1" applyFont="1" applyBorder="1" applyAlignment="1">
      <alignment horizontal="center"/>
    </xf>
    <xf numFmtId="0" fontId="18" fillId="0" borderId="1" xfId="0" quotePrefix="1" applyNumberFormat="1" applyFont="1" applyBorder="1" applyAlignment="1">
      <alignment horizontal="center"/>
    </xf>
    <xf numFmtId="0" fontId="18" fillId="0" borderId="0" xfId="0" applyNumberFormat="1" applyFont="1" applyAlignment="1">
      <alignment horizontal="center"/>
    </xf>
    <xf numFmtId="0" fontId="27" fillId="0" borderId="42" xfId="0" applyNumberFormat="1" applyFont="1" applyBorder="1" applyAlignment="1">
      <alignment horizontal="center"/>
    </xf>
    <xf numFmtId="0" fontId="27" fillId="0" borderId="43" xfId="0" applyNumberFormat="1" applyFont="1" applyBorder="1" applyAlignment="1">
      <alignment horizontal="center"/>
    </xf>
    <xf numFmtId="0" fontId="27" fillId="0" borderId="46" xfId="0" applyNumberFormat="1" applyFont="1" applyBorder="1" applyAlignment="1">
      <alignment horizontal="center"/>
    </xf>
    <xf numFmtId="0" fontId="31" fillId="0" borderId="42" xfId="0" applyNumberFormat="1" applyFont="1" applyBorder="1" applyAlignment="1">
      <alignment horizontal="center"/>
    </xf>
    <xf numFmtId="0" fontId="31" fillId="0" borderId="47" xfId="0" applyNumberFormat="1" applyFont="1" applyBorder="1" applyAlignment="1">
      <alignment horizontal="center"/>
    </xf>
    <xf numFmtId="0" fontId="27" fillId="0" borderId="48" xfId="0" applyNumberFormat="1" applyFont="1" applyBorder="1" applyAlignment="1">
      <alignment horizontal="center"/>
    </xf>
    <xf numFmtId="166" fontId="27" fillId="0" borderId="0" xfId="0" applyNumberFormat="1" applyFont="1" applyAlignment="1"/>
    <xf numFmtId="166" fontId="27" fillId="0" borderId="0" xfId="1" applyNumberFormat="1" applyFont="1" applyAlignment="1"/>
    <xf numFmtId="3" fontId="27" fillId="0" borderId="0" xfId="23" applyNumberFormat="1" applyFont="1" applyAlignment="1"/>
    <xf numFmtId="0" fontId="17" fillId="0" borderId="0" xfId="0" applyNumberFormat="1" applyFont="1" applyAlignment="1">
      <alignment horizontal="right"/>
    </xf>
    <xf numFmtId="0" fontId="27" fillId="0" borderId="0" xfId="0" applyNumberFormat="1" applyFont="1" applyAlignment="1">
      <alignment horizontal="right"/>
    </xf>
    <xf numFmtId="0" fontId="31" fillId="0" borderId="0" xfId="0" applyNumberFormat="1" applyFont="1" applyAlignment="1"/>
    <xf numFmtId="166" fontId="3" fillId="0" borderId="0" xfId="1" applyNumberFormat="1" applyFont="1" applyBorder="1" applyAlignment="1">
      <alignment wrapText="1"/>
    </xf>
    <xf numFmtId="164" fontId="18" fillId="0" borderId="0" xfId="0" applyFont="1" applyFill="1" applyAlignment="1"/>
    <xf numFmtId="0" fontId="18" fillId="0" borderId="0" xfId="0" applyNumberFormat="1" applyFont="1" applyFill="1" applyAlignment="1">
      <alignment horizontal="center"/>
    </xf>
    <xf numFmtId="164" fontId="18" fillId="0" borderId="0" xfId="0" applyFont="1" applyFill="1" applyBorder="1" applyAlignment="1"/>
    <xf numFmtId="166" fontId="18" fillId="0" borderId="0" xfId="1" applyNumberFormat="1" applyFont="1" applyFill="1" applyAlignment="1"/>
    <xf numFmtId="164" fontId="36" fillId="0" borderId="0" xfId="0" applyFont="1" applyFill="1" applyAlignment="1">
      <alignment horizontal="left"/>
    </xf>
    <xf numFmtId="166" fontId="18" fillId="0" borderId="0" xfId="21" applyNumberFormat="1" applyFont="1" applyFill="1" applyBorder="1"/>
    <xf numFmtId="10" fontId="18" fillId="0" borderId="0" xfId="3" applyNumberFormat="1" applyFont="1" applyFill="1" applyAlignment="1"/>
    <xf numFmtId="166" fontId="3" fillId="0" borderId="0" xfId="0" applyNumberFormat="1" applyFont="1" applyFill="1" applyAlignment="1"/>
    <xf numFmtId="165" fontId="17" fillId="0" borderId="31" xfId="17" applyNumberFormat="1" applyFont="1" applyFill="1" applyBorder="1"/>
    <xf numFmtId="164" fontId="17" fillId="0" borderId="0" xfId="0" applyFont="1" applyFill="1" applyAlignment="1"/>
    <xf numFmtId="166" fontId="18" fillId="0" borderId="0" xfId="1" applyNumberFormat="1" applyFont="1" applyFill="1"/>
    <xf numFmtId="10" fontId="18" fillId="0" borderId="0" xfId="24" applyNumberFormat="1" applyFont="1" applyFill="1" applyBorder="1"/>
    <xf numFmtId="166" fontId="18" fillId="0" borderId="0" xfId="1" applyNumberFormat="1" applyFont="1" applyFill="1" applyBorder="1"/>
    <xf numFmtId="165" fontId="17" fillId="0" borderId="25" xfId="17" applyNumberFormat="1" applyFont="1" applyFill="1" applyBorder="1"/>
    <xf numFmtId="42" fontId="18" fillId="0" borderId="0" xfId="0" applyNumberFormat="1" applyFont="1" applyFill="1" applyBorder="1" applyAlignment="1"/>
    <xf numFmtId="164" fontId="37" fillId="0" borderId="5" xfId="0" applyFont="1" applyFill="1" applyBorder="1" applyAlignment="1"/>
    <xf numFmtId="166" fontId="18" fillId="0" borderId="0" xfId="1" applyNumberFormat="1" applyFont="1" applyFill="1" applyBorder="1" applyAlignment="1"/>
    <xf numFmtId="166" fontId="18" fillId="0" borderId="0" xfId="0" applyNumberFormat="1" applyFont="1" applyFill="1" applyBorder="1" applyAlignment="1"/>
    <xf numFmtId="165" fontId="18" fillId="0" borderId="49" xfId="17" applyNumberFormat="1" applyFont="1" applyFill="1" applyBorder="1"/>
    <xf numFmtId="164" fontId="18" fillId="0" borderId="10" xfId="0" applyFont="1" applyFill="1" applyBorder="1" applyAlignment="1"/>
    <xf numFmtId="166" fontId="18" fillId="0" borderId="10" xfId="1" applyNumberFormat="1" applyFont="1" applyFill="1" applyBorder="1" applyAlignment="1"/>
    <xf numFmtId="164" fontId="18" fillId="0" borderId="0" xfId="0" quotePrefix="1" applyFont="1" applyFill="1" applyAlignment="1">
      <alignment horizontal="center"/>
    </xf>
    <xf numFmtId="166" fontId="18" fillId="0" borderId="4" xfId="21" applyNumberFormat="1" applyFont="1" applyFill="1" applyBorder="1"/>
    <xf numFmtId="166" fontId="18" fillId="0" borderId="4" xfId="1" applyNumberFormat="1" applyFont="1" applyFill="1" applyBorder="1"/>
    <xf numFmtId="166" fontId="18" fillId="0" borderId="10" xfId="21" applyNumberFormat="1" applyFont="1" applyFill="1" applyBorder="1"/>
    <xf numFmtId="166" fontId="18" fillId="0" borderId="0" xfId="21" applyNumberFormat="1" applyFont="1" applyFill="1"/>
    <xf numFmtId="164" fontId="17" fillId="0" borderId="0" xfId="0" applyFont="1" applyFill="1" applyBorder="1" applyAlignment="1"/>
    <xf numFmtId="164" fontId="17" fillId="0" borderId="5" xfId="0" applyFont="1" applyFill="1" applyBorder="1" applyAlignment="1"/>
    <xf numFmtId="41" fontId="18" fillId="0" borderId="0" xfId="0" applyNumberFormat="1" applyFont="1" applyFill="1" applyBorder="1" applyAlignment="1"/>
    <xf numFmtId="166" fontId="18" fillId="0" borderId="0" xfId="21" quotePrefix="1" applyNumberFormat="1" applyFont="1" applyFill="1" applyBorder="1" applyAlignment="1">
      <alignment horizontal="center"/>
    </xf>
    <xf numFmtId="41" fontId="18" fillId="0" borderId="10" xfId="0" applyNumberFormat="1" applyFont="1" applyFill="1" applyBorder="1" applyAlignment="1"/>
    <xf numFmtId="41" fontId="18" fillId="0" borderId="4" xfId="0" applyNumberFormat="1" applyFont="1" applyFill="1" applyBorder="1" applyAlignment="1"/>
    <xf numFmtId="166" fontId="18" fillId="0" borderId="5" xfId="1" applyNumberFormat="1" applyFont="1" applyFill="1" applyBorder="1"/>
    <xf numFmtId="16" fontId="17" fillId="0" borderId="5" xfId="0" applyNumberFormat="1" applyFont="1" applyFill="1" applyBorder="1" applyAlignment="1">
      <alignment horizontal="center"/>
    </xf>
    <xf numFmtId="164" fontId="17" fillId="0" borderId="0" xfId="0" applyFont="1" applyFill="1" applyBorder="1" applyAlignment="1">
      <alignment horizontal="center"/>
    </xf>
    <xf numFmtId="164" fontId="31" fillId="0" borderId="5" xfId="0" applyFont="1" applyFill="1" applyBorder="1" applyAlignment="1">
      <alignment horizontal="center"/>
    </xf>
    <xf numFmtId="166" fontId="17" fillId="0" borderId="5" xfId="1" applyNumberFormat="1" applyFont="1" applyFill="1" applyBorder="1" applyAlignment="1">
      <alignment horizontal="center"/>
    </xf>
    <xf numFmtId="164" fontId="17" fillId="0" borderId="5" xfId="0" applyFont="1" applyFill="1" applyBorder="1" applyAlignment="1">
      <alignment horizontal="center"/>
    </xf>
    <xf numFmtId="0" fontId="17" fillId="0" borderId="5" xfId="0" applyNumberFormat="1" applyFont="1" applyFill="1" applyBorder="1" applyAlignment="1">
      <alignment horizontal="center"/>
    </xf>
    <xf numFmtId="164" fontId="17" fillId="0" borderId="0" xfId="0" applyFont="1" applyFill="1" applyAlignment="1">
      <alignment horizontal="center" wrapText="1"/>
    </xf>
    <xf numFmtId="166" fontId="17" fillId="0" borderId="0" xfId="1" applyNumberFormat="1" applyFont="1" applyFill="1" applyBorder="1" applyAlignment="1">
      <alignment horizontal="center" wrapText="1"/>
    </xf>
    <xf numFmtId="0" fontId="17" fillId="0" borderId="0" xfId="0" applyNumberFormat="1" applyFont="1" applyFill="1" applyAlignment="1">
      <alignment horizontal="center"/>
    </xf>
    <xf numFmtId="0" fontId="17" fillId="0" borderId="0" xfId="0" applyNumberFormat="1" applyFont="1" applyFill="1" applyAlignment="1"/>
    <xf numFmtId="0" fontId="17" fillId="0" borderId="0" xfId="0" applyNumberFormat="1" applyFont="1" applyFill="1" applyAlignment="1" applyProtection="1">
      <protection locked="0"/>
    </xf>
    <xf numFmtId="164" fontId="17" fillId="0" borderId="6" xfId="0" applyFont="1" applyFill="1" applyBorder="1" applyAlignment="1">
      <alignment horizontal="center" wrapText="1"/>
    </xf>
    <xf numFmtId="164" fontId="17" fillId="0" borderId="0" xfId="0" applyFont="1" applyFill="1" applyAlignment="1">
      <alignment horizontal="right"/>
    </xf>
    <xf numFmtId="0" fontId="18" fillId="0" borderId="0" xfId="0" applyNumberFormat="1" applyFont="1" applyFill="1" applyAlignment="1"/>
    <xf numFmtId="0" fontId="17" fillId="0" borderId="0" xfId="0" applyNumberFormat="1" applyFont="1" applyFill="1" applyAlignment="1">
      <alignment horizontal="right"/>
    </xf>
    <xf numFmtId="0" fontId="2" fillId="0" borderId="0" xfId="7" applyNumberFormat="1" applyFont="1" applyAlignment="1"/>
    <xf numFmtId="0" fontId="3" fillId="0" borderId="0" xfId="7" applyNumberFormat="1" applyFont="1" applyAlignment="1"/>
    <xf numFmtId="0" fontId="2" fillId="0" borderId="0" xfId="7" applyNumberFormat="1" applyFont="1" applyFill="1" applyAlignment="1"/>
    <xf numFmtId="0" fontId="2" fillId="0" borderId="0" xfId="7" applyNumberFormat="1" applyFont="1" applyFill="1" applyBorder="1" applyAlignment="1"/>
    <xf numFmtId="49" fontId="2" fillId="0" borderId="0" xfId="7" applyNumberFormat="1" applyFont="1" applyFill="1" applyAlignment="1"/>
    <xf numFmtId="166" fontId="3" fillId="0" borderId="0" xfId="7" applyNumberFormat="1" applyFont="1" applyAlignment="1"/>
    <xf numFmtId="165" fontId="3" fillId="0" borderId="0" xfId="7" applyNumberFormat="1" applyFont="1" applyAlignment="1"/>
    <xf numFmtId="166" fontId="3" fillId="0" borderId="0" xfId="25" applyNumberFormat="1" applyFont="1" applyAlignment="1"/>
    <xf numFmtId="166" fontId="2" fillId="0" borderId="0" xfId="25" applyNumberFormat="1" applyFont="1" applyAlignment="1"/>
    <xf numFmtId="6" fontId="2" fillId="0" borderId="0" xfId="7" applyNumberFormat="1" applyFont="1" applyFill="1" applyBorder="1" applyAlignment="1"/>
    <xf numFmtId="165" fontId="4" fillId="0" borderId="0" xfId="26" applyNumberFormat="1" applyFont="1" applyAlignment="1"/>
    <xf numFmtId="37" fontId="2" fillId="0" borderId="0" xfId="7" applyNumberFormat="1" applyFont="1" applyFill="1" applyAlignment="1">
      <alignment horizontal="right"/>
    </xf>
    <xf numFmtId="164" fontId="38" fillId="0" borderId="0" xfId="7" applyFont="1" applyFill="1" applyBorder="1" applyAlignment="1"/>
    <xf numFmtId="164" fontId="2" fillId="0" borderId="0" xfId="7" applyFont="1" applyFill="1" applyAlignment="1">
      <alignment horizontal="left"/>
    </xf>
    <xf numFmtId="42" fontId="7" fillId="0" borderId="0" xfId="7" applyNumberFormat="1" applyFont="1" applyFill="1" applyBorder="1" applyAlignment="1" applyProtection="1">
      <protection locked="0"/>
    </xf>
    <xf numFmtId="42" fontId="2" fillId="0" borderId="0" xfId="7" applyNumberFormat="1" applyFont="1" applyFill="1" applyAlignment="1"/>
    <xf numFmtId="42" fontId="38" fillId="0" borderId="3" xfId="7" applyNumberFormat="1" applyFont="1" applyFill="1" applyBorder="1" applyAlignment="1" applyProtection="1">
      <protection locked="0"/>
    </xf>
    <xf numFmtId="42" fontId="2" fillId="0" borderId="0" xfId="7" applyNumberFormat="1" applyFont="1" applyFill="1" applyBorder="1" applyAlignment="1" applyProtection="1">
      <protection locked="0"/>
    </xf>
    <xf numFmtId="42" fontId="2" fillId="0" borderId="3" xfId="7" applyNumberFormat="1" applyFont="1" applyFill="1" applyBorder="1" applyAlignment="1" applyProtection="1">
      <protection locked="0"/>
    </xf>
    <xf numFmtId="0" fontId="2" fillId="0" borderId="0" xfId="7" applyNumberFormat="1" applyFont="1" applyFill="1" applyAlignment="1">
      <alignment horizontal="center"/>
    </xf>
    <xf numFmtId="41" fontId="2" fillId="0" borderId="0" xfId="7" applyNumberFormat="1" applyFont="1" applyFill="1" applyAlignment="1" applyProtection="1">
      <protection locked="0"/>
    </xf>
    <xf numFmtId="41" fontId="2" fillId="0" borderId="0" xfId="7" applyNumberFormat="1" applyFont="1" applyFill="1" applyBorder="1" applyAlignment="1" applyProtection="1">
      <protection locked="0"/>
    </xf>
    <xf numFmtId="41" fontId="7" fillId="0" borderId="0" xfId="7" applyNumberFormat="1" applyFont="1" applyFill="1" applyAlignment="1" applyProtection="1">
      <protection locked="0"/>
    </xf>
    <xf numFmtId="41" fontId="38" fillId="0" borderId="0" xfId="7" applyNumberFormat="1" applyFont="1" applyFill="1" applyAlignment="1" applyProtection="1">
      <protection locked="0"/>
    </xf>
    <xf numFmtId="167" fontId="39" fillId="0" borderId="0" xfId="7" applyNumberFormat="1" applyFont="1" applyFill="1" applyAlignment="1" applyProtection="1">
      <alignment horizontal="left"/>
    </xf>
    <xf numFmtId="166" fontId="2" fillId="0" borderId="0" xfId="7" applyNumberFormat="1" applyFont="1" applyFill="1" applyAlignment="1"/>
    <xf numFmtId="165" fontId="2" fillId="0" borderId="0" xfId="26" applyNumberFormat="1" applyFont="1" applyFill="1" applyAlignment="1"/>
    <xf numFmtId="42" fontId="2" fillId="0" borderId="0" xfId="7" applyNumberFormat="1" applyFont="1" applyFill="1" applyAlignment="1" applyProtection="1">
      <protection locked="0"/>
    </xf>
    <xf numFmtId="10" fontId="7" fillId="0" borderId="0" xfId="7" applyNumberFormat="1" applyFont="1" applyFill="1" applyAlignment="1" applyProtection="1">
      <protection locked="0"/>
    </xf>
    <xf numFmtId="10" fontId="2" fillId="0" borderId="0" xfId="7" applyNumberFormat="1" applyFont="1" applyFill="1" applyAlignment="1" applyProtection="1">
      <protection locked="0"/>
    </xf>
    <xf numFmtId="10" fontId="2" fillId="0" borderId="0" xfId="7" applyNumberFormat="1" applyFont="1" applyFill="1" applyAlignment="1"/>
    <xf numFmtId="10" fontId="38" fillId="0" borderId="0" xfId="7" applyNumberFormat="1" applyFont="1" applyFill="1" applyAlignment="1" applyProtection="1">
      <protection locked="0"/>
    </xf>
    <xf numFmtId="0" fontId="2" fillId="0" borderId="0" xfId="7" applyNumberFormat="1" applyFont="1" applyFill="1" applyAlignment="1">
      <alignment horizontal="left"/>
    </xf>
    <xf numFmtId="42" fontId="40" fillId="0" borderId="0" xfId="7" applyNumberFormat="1" applyFont="1" applyFill="1" applyAlignment="1" applyProtection="1">
      <protection locked="0"/>
    </xf>
    <xf numFmtId="166" fontId="7" fillId="0" borderId="0" xfId="7" applyNumberFormat="1" applyFont="1" applyFill="1" applyAlignment="1"/>
    <xf numFmtId="166" fontId="38" fillId="0" borderId="0" xfId="7" applyNumberFormat="1" applyFont="1" applyFill="1" applyAlignment="1"/>
    <xf numFmtId="165" fontId="38" fillId="0" borderId="0" xfId="26" applyNumberFormat="1" applyFont="1" applyFill="1" applyAlignment="1"/>
    <xf numFmtId="42" fontId="2" fillId="0" borderId="0" xfId="7" applyNumberFormat="1" applyFont="1" applyFill="1" applyAlignment="1">
      <alignment horizontal="left"/>
    </xf>
    <xf numFmtId="9" fontId="3" fillId="0" borderId="0" xfId="27" applyFont="1" applyAlignment="1"/>
    <xf numFmtId="165" fontId="7" fillId="0" borderId="0" xfId="26" applyNumberFormat="1" applyFont="1" applyFill="1" applyAlignment="1"/>
    <xf numFmtId="42" fontId="3" fillId="0" borderId="0" xfId="7" applyNumberFormat="1" applyFont="1" applyAlignment="1"/>
    <xf numFmtId="41" fontId="7" fillId="0" borderId="4" xfId="7" applyNumberFormat="1" applyFont="1" applyFill="1" applyBorder="1" applyAlignment="1" applyProtection="1">
      <protection locked="0"/>
    </xf>
    <xf numFmtId="41" fontId="3" fillId="0" borderId="0" xfId="7" applyNumberFormat="1" applyFont="1" applyAlignment="1"/>
    <xf numFmtId="42" fontId="2" fillId="0" borderId="0" xfId="7" applyNumberFormat="1" applyFont="1" applyFill="1" applyBorder="1" applyAlignment="1"/>
    <xf numFmtId="41" fontId="38" fillId="0" borderId="4" xfId="7" applyNumberFormat="1" applyFont="1" applyFill="1" applyBorder="1" applyAlignment="1" applyProtection="1">
      <protection locked="0"/>
    </xf>
    <xf numFmtId="166" fontId="38" fillId="0" borderId="4" xfId="7" applyNumberFormat="1" applyFont="1" applyFill="1" applyBorder="1" applyAlignment="1"/>
    <xf numFmtId="166" fontId="2" fillId="0" borderId="4" xfId="7" applyNumberFormat="1" applyFont="1" applyFill="1" applyBorder="1" applyAlignment="1"/>
    <xf numFmtId="41" fontId="2" fillId="0" borderId="4" xfId="7" applyNumberFormat="1" applyFont="1" applyFill="1" applyBorder="1" applyAlignment="1" applyProtection="1">
      <protection locked="0"/>
    </xf>
    <xf numFmtId="166" fontId="7" fillId="0" borderId="0" xfId="25" applyNumberFormat="1" applyFont="1" applyFill="1" applyAlignment="1" applyProtection="1">
      <protection locked="0"/>
    </xf>
    <xf numFmtId="41" fontId="2" fillId="0" borderId="5" xfId="7" applyNumberFormat="1" applyFont="1" applyFill="1" applyBorder="1" applyAlignment="1" applyProtection="1">
      <protection locked="0"/>
    </xf>
    <xf numFmtId="41" fontId="40" fillId="0" borderId="0" xfId="7" applyNumberFormat="1" applyFont="1" applyFill="1" applyAlignment="1" applyProtection="1">
      <protection locked="0"/>
    </xf>
    <xf numFmtId="166" fontId="7" fillId="0" borderId="0" xfId="7" applyNumberFormat="1" applyFont="1" applyFill="1" applyBorder="1" applyAlignment="1" applyProtection="1">
      <protection locked="0"/>
    </xf>
    <xf numFmtId="41" fontId="38" fillId="0" borderId="0" xfId="7" applyNumberFormat="1" applyFont="1" applyFill="1" applyBorder="1" applyAlignment="1" applyProtection="1">
      <protection locked="0"/>
    </xf>
    <xf numFmtId="41" fontId="2" fillId="0" borderId="0" xfId="7" applyNumberFormat="1" applyFont="1" applyFill="1" applyAlignment="1"/>
    <xf numFmtId="41" fontId="7" fillId="0" borderId="0" xfId="7" applyNumberFormat="1" applyFont="1" applyFill="1" applyBorder="1" applyAlignment="1" applyProtection="1">
      <protection locked="0"/>
    </xf>
    <xf numFmtId="41" fontId="38" fillId="0" borderId="0" xfId="7" applyNumberFormat="1" applyFont="1" applyFill="1" applyAlignment="1"/>
    <xf numFmtId="0" fontId="2" fillId="0" borderId="0" xfId="7" quotePrefix="1" applyNumberFormat="1" applyFont="1" applyFill="1" applyAlignment="1">
      <alignment horizontal="left"/>
    </xf>
    <xf numFmtId="166" fontId="2" fillId="0" borderId="0" xfId="7" applyNumberFormat="1" applyFont="1" applyFill="1" applyBorder="1" applyAlignment="1" applyProtection="1">
      <protection locked="0"/>
    </xf>
    <xf numFmtId="37" fontId="2" fillId="0" borderId="0" xfId="7" applyNumberFormat="1" applyFont="1" applyFill="1" applyAlignment="1" applyProtection="1">
      <protection locked="0"/>
    </xf>
    <xf numFmtId="0" fontId="3" fillId="0" borderId="0" xfId="7" applyNumberFormat="1" applyFont="1" applyFill="1" applyAlignment="1"/>
    <xf numFmtId="37" fontId="2" fillId="0" borderId="0" xfId="7" applyNumberFormat="1" applyFont="1" applyFill="1" applyAlignment="1"/>
    <xf numFmtId="168" fontId="2" fillId="0" borderId="0" xfId="7" applyNumberFormat="1" applyFont="1" applyFill="1" applyAlignment="1"/>
    <xf numFmtId="166" fontId="2" fillId="0" borderId="5" xfId="7" applyNumberFormat="1" applyFont="1" applyFill="1" applyBorder="1" applyAlignment="1"/>
    <xf numFmtId="41" fontId="7" fillId="0" borderId="5" xfId="7" applyNumberFormat="1" applyFont="1" applyFill="1" applyBorder="1" applyAlignment="1" applyProtection="1">
      <protection locked="0"/>
    </xf>
    <xf numFmtId="168" fontId="2" fillId="0" borderId="0" xfId="7" applyNumberFormat="1" applyFont="1" applyFill="1" applyAlignment="1" applyProtection="1">
      <protection locked="0"/>
    </xf>
    <xf numFmtId="10" fontId="4" fillId="0" borderId="6" xfId="27" applyNumberFormat="1" applyFont="1" applyBorder="1" applyAlignment="1"/>
    <xf numFmtId="41" fontId="7" fillId="0" borderId="7" xfId="7" applyNumberFormat="1" applyFont="1" applyFill="1" applyBorder="1" applyAlignment="1" applyProtection="1">
      <protection locked="0"/>
    </xf>
    <xf numFmtId="10" fontId="5" fillId="0" borderId="6" xfId="27" applyNumberFormat="1" applyFont="1" applyBorder="1" applyAlignment="1"/>
    <xf numFmtId="166" fontId="38" fillId="0" borderId="6" xfId="7" applyNumberFormat="1" applyFont="1" applyFill="1" applyBorder="1" applyAlignment="1"/>
    <xf numFmtId="166" fontId="7" fillId="0" borderId="0" xfId="7" applyNumberFormat="1" applyFont="1" applyFill="1" applyBorder="1" applyAlignment="1"/>
    <xf numFmtId="166" fontId="38" fillId="0" borderId="0" xfId="7" applyNumberFormat="1" applyFont="1" applyFill="1" applyBorder="1" applyAlignment="1"/>
    <xf numFmtId="166" fontId="2" fillId="0" borderId="0" xfId="7" applyNumberFormat="1" applyFont="1" applyFill="1" applyBorder="1" applyAlignment="1"/>
    <xf numFmtId="10" fontId="7" fillId="0" borderId="0" xfId="7" applyNumberFormat="1" applyFont="1" applyFill="1" applyBorder="1" applyAlignment="1" applyProtection="1">
      <alignment horizontal="center"/>
      <protection locked="0"/>
    </xf>
    <xf numFmtId="42" fontId="7" fillId="0" borderId="0" xfId="7" applyNumberFormat="1" applyFont="1" applyFill="1" applyAlignment="1" applyProtection="1">
      <protection locked="0"/>
    </xf>
    <xf numFmtId="10" fontId="38" fillId="0" borderId="0" xfId="7" applyNumberFormat="1" applyFont="1" applyFill="1" applyBorder="1" applyAlignment="1" applyProtection="1">
      <alignment horizontal="center"/>
      <protection locked="0"/>
    </xf>
    <xf numFmtId="42" fontId="38" fillId="0" borderId="0" xfId="7" applyNumberFormat="1" applyFont="1" applyFill="1" applyAlignment="1" applyProtection="1">
      <protection locked="0"/>
    </xf>
    <xf numFmtId="0" fontId="2" fillId="0" borderId="5" xfId="7" applyNumberFormat="1" applyFont="1" applyFill="1" applyBorder="1" applyAlignment="1">
      <alignment horizontal="center"/>
    </xf>
    <xf numFmtId="0" fontId="2" fillId="0" borderId="0" xfId="7" applyNumberFormat="1" applyFont="1" applyFill="1" applyAlignment="1" applyProtection="1">
      <protection locked="0"/>
    </xf>
    <xf numFmtId="0" fontId="2" fillId="0" borderId="0" xfId="7" applyNumberFormat="1" applyFont="1" applyFill="1" applyAlignment="1">
      <alignment horizontal="fill"/>
    </xf>
    <xf numFmtId="0" fontId="2" fillId="0" borderId="0" xfId="7" applyNumberFormat="1" applyFont="1" applyFill="1" applyAlignment="1" applyProtection="1">
      <alignment horizontal="fill"/>
      <protection locked="0"/>
    </xf>
    <xf numFmtId="49" fontId="2" fillId="0" borderId="0" xfId="7" applyNumberFormat="1" applyFont="1" applyFill="1" applyAlignment="1">
      <alignment horizontal="fill"/>
    </xf>
    <xf numFmtId="0" fontId="4" fillId="0" borderId="0" xfId="7" applyNumberFormat="1" applyFont="1" applyFill="1" applyAlignment="1">
      <alignment horizontal="center"/>
    </xf>
    <xf numFmtId="2" fontId="4" fillId="0" borderId="0" xfId="7" applyNumberFormat="1" applyFont="1" applyFill="1" applyAlignment="1" applyProtection="1">
      <alignment horizontal="center"/>
      <protection locked="0"/>
    </xf>
    <xf numFmtId="0" fontId="4" fillId="0" borderId="0" xfId="7" applyNumberFormat="1" applyFont="1" applyFill="1" applyAlignment="1"/>
    <xf numFmtId="49" fontId="4" fillId="0" borderId="0" xfId="7" applyNumberFormat="1" applyFont="1" applyFill="1" applyAlignment="1">
      <alignment horizontal="center"/>
    </xf>
    <xf numFmtId="0" fontId="4" fillId="0" borderId="0" xfId="7" applyNumberFormat="1" applyFont="1" applyFill="1" applyAlignment="1">
      <alignment horizontal="center" vertical="center" wrapText="1"/>
    </xf>
    <xf numFmtId="0" fontId="4" fillId="0" borderId="0" xfId="7" applyNumberFormat="1" applyFont="1" applyFill="1" applyAlignment="1">
      <alignment horizontal="center" wrapText="1"/>
    </xf>
    <xf numFmtId="0" fontId="4" fillId="0" borderId="0" xfId="7" quotePrefix="1" applyNumberFormat="1" applyFont="1" applyFill="1" applyAlignment="1">
      <alignment horizontal="center"/>
    </xf>
    <xf numFmtId="49" fontId="4" fillId="0" borderId="0" xfId="7" applyNumberFormat="1" applyFont="1" applyFill="1" applyAlignment="1"/>
    <xf numFmtId="0" fontId="7" fillId="0" borderId="0" xfId="7" applyNumberFormat="1" applyFont="1" applyAlignment="1">
      <alignment horizontal="center"/>
    </xf>
    <xf numFmtId="0" fontId="38" fillId="0" borderId="0" xfId="7" applyNumberFormat="1" applyFont="1" applyFill="1" applyAlignment="1">
      <alignment horizontal="center"/>
    </xf>
    <xf numFmtId="0" fontId="41" fillId="0" borderId="0" xfId="7" applyNumberFormat="1" applyFont="1" applyFill="1" applyAlignment="1">
      <alignment horizontal="center"/>
    </xf>
    <xf numFmtId="0" fontId="42" fillId="0" borderId="0" xfId="7" applyNumberFormat="1" applyFont="1" applyFill="1" applyAlignment="1">
      <alignment horizontal="center"/>
    </xf>
    <xf numFmtId="0" fontId="4" fillId="0" borderId="0" xfId="7" applyNumberFormat="1" applyFont="1" applyFill="1" applyAlignment="1">
      <alignment horizontal="fill"/>
    </xf>
    <xf numFmtId="0" fontId="41" fillId="0" borderId="0" xfId="7" applyNumberFormat="1" applyFont="1" applyFill="1" applyAlignment="1">
      <alignment horizontal="fill"/>
    </xf>
    <xf numFmtId="0" fontId="7" fillId="0" borderId="0" xfId="7" applyNumberFormat="1" applyFont="1" applyAlignment="1">
      <alignment horizontal="center" vertical="center"/>
    </xf>
    <xf numFmtId="0" fontId="4" fillId="0" borderId="0" xfId="7" quotePrefix="1" applyNumberFormat="1" applyFont="1" applyFill="1" applyAlignment="1">
      <alignment horizontal="fill"/>
    </xf>
    <xf numFmtId="0" fontId="4" fillId="0" borderId="0" xfId="7" applyNumberFormat="1" applyFont="1" applyFill="1" applyAlignment="1">
      <alignment horizontal="centerContinuous"/>
    </xf>
    <xf numFmtId="0" fontId="4" fillId="0" borderId="0" xfId="7" quotePrefix="1" applyNumberFormat="1" applyFont="1" applyFill="1" applyAlignment="1">
      <alignment horizontal="centerContinuous" vertical="center"/>
    </xf>
    <xf numFmtId="170" fontId="4" fillId="0" borderId="0" xfId="7" applyNumberFormat="1" applyFont="1" applyFill="1" applyBorder="1" applyAlignment="1">
      <alignment horizontal="center"/>
    </xf>
    <xf numFmtId="0" fontId="4" fillId="0" borderId="0" xfId="7" applyNumberFormat="1" applyFont="1" applyFill="1" applyAlignment="1">
      <alignment horizontal="right"/>
    </xf>
    <xf numFmtId="0" fontId="4" fillId="0" borderId="0" xfId="7" applyNumberFormat="1" applyFont="1" applyFill="1" applyBorder="1" applyAlignment="1">
      <alignment horizontal="right"/>
    </xf>
    <xf numFmtId="0" fontId="4" fillId="0" borderId="0" xfId="7" applyNumberFormat="1" applyFont="1" applyAlignment="1">
      <alignment horizontal="right"/>
    </xf>
    <xf numFmtId="0" fontId="4" fillId="0" borderId="0" xfId="7" quotePrefix="1" applyNumberFormat="1" applyFont="1" applyFill="1" applyAlignment="1">
      <alignment horizontal="left"/>
    </xf>
    <xf numFmtId="0" fontId="2" fillId="0" borderId="0" xfId="7" applyNumberFormat="1" applyFont="1" applyFill="1" applyBorder="1" applyAlignment="1">
      <alignment vertical="center" wrapText="1"/>
    </xf>
    <xf numFmtId="49" fontId="2" fillId="0" borderId="0" xfId="7" applyNumberFormat="1" applyFont="1" applyFill="1" applyBorder="1" applyAlignment="1">
      <alignment vertical="center" wrapText="1"/>
    </xf>
    <xf numFmtId="42" fontId="2" fillId="3" borderId="0" xfId="0" applyNumberFormat="1" applyFont="1" applyFill="1" applyAlignment="1" applyProtection="1">
      <protection locked="0"/>
    </xf>
    <xf numFmtId="10" fontId="4" fillId="3" borderId="0" xfId="0" applyNumberFormat="1" applyFont="1" applyFill="1" applyBorder="1" applyAlignment="1" applyProtection="1">
      <alignment horizontal="center"/>
      <protection locked="0"/>
    </xf>
    <xf numFmtId="42" fontId="7" fillId="3" borderId="0" xfId="5" applyNumberFormat="1" applyFont="1" applyFill="1" applyAlignment="1" applyProtection="1">
      <protection locked="0"/>
    </xf>
    <xf numFmtId="10" fontId="2" fillId="3" borderId="0" xfId="0" applyNumberFormat="1" applyFont="1" applyFill="1" applyBorder="1" applyAlignment="1" applyProtection="1">
      <alignment horizontal="center"/>
      <protection locked="0"/>
    </xf>
    <xf numFmtId="169" fontId="4" fillId="3" borderId="6" xfId="3" applyNumberFormat="1" applyFont="1" applyFill="1" applyBorder="1" applyAlignment="1"/>
    <xf numFmtId="41" fontId="7" fillId="3" borderId="7" xfId="5" applyNumberFormat="1" applyFont="1" applyFill="1" applyBorder="1" applyAlignment="1" applyProtection="1">
      <protection locked="0"/>
    </xf>
    <xf numFmtId="169" fontId="4" fillId="3" borderId="6" xfId="3" applyNumberFormat="1" applyFont="1" applyFill="1" applyBorder="1" applyAlignment="1">
      <alignment horizontal="center"/>
    </xf>
    <xf numFmtId="41" fontId="2" fillId="3" borderId="4" xfId="0" applyNumberFormat="1" applyFont="1" applyFill="1" applyBorder="1" applyAlignment="1" applyProtection="1">
      <protection locked="0"/>
    </xf>
    <xf numFmtId="166" fontId="2" fillId="3" borderId="6" xfId="0" applyNumberFormat="1" applyFont="1" applyFill="1" applyBorder="1" applyAlignment="1"/>
    <xf numFmtId="166" fontId="7" fillId="3" borderId="0" xfId="6" applyNumberFormat="1" applyFont="1" applyFill="1" applyAlignment="1" applyProtection="1">
      <protection locked="0"/>
    </xf>
    <xf numFmtId="41" fontId="2" fillId="3" borderId="0" xfId="0" applyNumberFormat="1" applyFont="1" applyFill="1" applyBorder="1" applyAlignment="1" applyProtection="1">
      <protection locked="0"/>
    </xf>
    <xf numFmtId="166" fontId="2" fillId="3" borderId="0" xfId="0" applyNumberFormat="1" applyFont="1" applyFill="1" applyAlignment="1"/>
    <xf numFmtId="41" fontId="2" fillId="3" borderId="0" xfId="0" applyNumberFormat="1" applyFont="1" applyFill="1" applyAlignment="1" applyProtection="1">
      <protection locked="0"/>
    </xf>
    <xf numFmtId="41" fontId="7" fillId="3" borderId="4" xfId="5" applyNumberFormat="1" applyFont="1" applyFill="1" applyBorder="1" applyAlignment="1" applyProtection="1">
      <protection locked="0"/>
    </xf>
    <xf numFmtId="165" fontId="7" fillId="3" borderId="0" xfId="4" applyNumberFormat="1" applyFont="1" applyFill="1" applyAlignment="1"/>
    <xf numFmtId="165" fontId="4" fillId="3" borderId="0" xfId="2" applyNumberFormat="1" applyFont="1" applyFill="1" applyAlignment="1"/>
    <xf numFmtId="10" fontId="2" fillId="3" borderId="0" xfId="0" applyNumberFormat="1" applyFont="1" applyFill="1" applyAlignment="1" applyProtection="1">
      <protection locked="0"/>
    </xf>
    <xf numFmtId="41" fontId="4" fillId="3" borderId="0" xfId="0" applyNumberFormat="1" applyFont="1" applyFill="1" applyAlignment="1" applyProtection="1">
      <protection locked="0"/>
    </xf>
    <xf numFmtId="166" fontId="2" fillId="3" borderId="4" xfId="0" applyNumberFormat="1" applyFont="1" applyFill="1" applyBorder="1" applyAlignment="1"/>
    <xf numFmtId="166" fontId="4" fillId="3" borderId="0" xfId="0" applyNumberFormat="1" applyFont="1" applyFill="1" applyAlignment="1"/>
    <xf numFmtId="42" fontId="4" fillId="3" borderId="3" xfId="0" applyNumberFormat="1" applyFont="1" applyFill="1" applyBorder="1" applyAlignment="1" applyProtection="1">
      <protection locked="0"/>
    </xf>
    <xf numFmtId="165" fontId="4" fillId="3" borderId="2" xfId="2" applyNumberFormat="1" applyFont="1" applyFill="1" applyBorder="1" applyAlignment="1"/>
    <xf numFmtId="42" fontId="2" fillId="3" borderId="3" xfId="0" applyNumberFormat="1" applyFont="1" applyFill="1" applyBorder="1" applyAlignment="1" applyProtection="1">
      <protection locked="0"/>
    </xf>
    <xf numFmtId="166" fontId="2" fillId="3" borderId="0" xfId="1" applyNumberFormat="1" applyFont="1" applyFill="1" applyAlignment="1"/>
    <xf numFmtId="165" fontId="2" fillId="3" borderId="0" xfId="2" applyNumberFormat="1" applyFont="1" applyFill="1" applyAlignment="1"/>
    <xf numFmtId="0" fontId="7" fillId="3" borderId="0" xfId="0" applyNumberFormat="1" applyFont="1" applyFill="1" applyAlignment="1">
      <alignment horizontal="center"/>
    </xf>
    <xf numFmtId="0" fontId="4" fillId="3" borderId="0" xfId="0" applyNumberFormat="1" applyFont="1" applyFill="1" applyAlignment="1">
      <alignment horizontal="center"/>
    </xf>
    <xf numFmtId="0" fontId="17" fillId="3" borderId="0" xfId="0" applyNumberFormat="1" applyFont="1" applyFill="1" applyAlignment="1"/>
    <xf numFmtId="42" fontId="7" fillId="3" borderId="0" xfId="0" applyNumberFormat="1" applyFont="1" applyFill="1" applyBorder="1" applyAlignment="1" applyProtection="1">
      <alignment horizontal="right"/>
      <protection locked="0"/>
    </xf>
    <xf numFmtId="41" fontId="7" fillId="3" borderId="4" xfId="0" applyNumberFormat="1" applyFont="1" applyFill="1" applyBorder="1" applyAlignment="1"/>
    <xf numFmtId="41" fontId="7" fillId="3" borderId="0" xfId="0" applyNumberFormat="1" applyFont="1" applyFill="1" applyAlignment="1"/>
    <xf numFmtId="42" fontId="7" fillId="3" borderId="3" xfId="0" applyNumberFormat="1" applyFont="1" applyFill="1" applyBorder="1" applyAlignment="1"/>
    <xf numFmtId="42" fontId="2" fillId="3" borderId="0" xfId="0" applyNumberFormat="1" applyFont="1" applyFill="1" applyAlignment="1" applyProtection="1">
      <alignment horizontal="right"/>
      <protection locked="0"/>
    </xf>
    <xf numFmtId="41" fontId="2" fillId="3" borderId="4" xfId="0" applyNumberFormat="1" applyFont="1" applyFill="1" applyBorder="1" applyAlignment="1" applyProtection="1">
      <alignment horizontal="right"/>
      <protection locked="0"/>
    </xf>
    <xf numFmtId="41" fontId="2" fillId="3" borderId="0" xfId="0" applyNumberFormat="1" applyFont="1" applyFill="1" applyAlignment="1" applyProtection="1">
      <alignment horizontal="right"/>
      <protection locked="0"/>
    </xf>
    <xf numFmtId="41" fontId="2" fillId="3" borderId="0" xfId="0" applyNumberFormat="1" applyFont="1" applyFill="1" applyBorder="1" applyAlignment="1"/>
    <xf numFmtId="41" fontId="2" fillId="3" borderId="0" xfId="0" applyNumberFormat="1" applyFont="1" applyFill="1" applyAlignment="1"/>
    <xf numFmtId="165" fontId="2" fillId="3" borderId="3" xfId="2" applyNumberFormat="1" applyFont="1" applyFill="1" applyBorder="1" applyAlignment="1"/>
    <xf numFmtId="165" fontId="2" fillId="3" borderId="0" xfId="2" applyNumberFormat="1" applyFont="1" applyFill="1" applyBorder="1" applyAlignment="1"/>
    <xf numFmtId="41" fontId="2" fillId="3" borderId="0" xfId="8" applyNumberFormat="1" applyFont="1" applyFill="1" applyBorder="1" applyAlignment="1"/>
    <xf numFmtId="42" fontId="2" fillId="3" borderId="3" xfId="0" applyNumberFormat="1" applyFont="1" applyFill="1" applyBorder="1" applyAlignment="1"/>
    <xf numFmtId="42" fontId="2" fillId="3" borderId="0" xfId="0" applyNumberFormat="1" applyFont="1" applyFill="1" applyAlignment="1">
      <alignment horizontal="right"/>
    </xf>
    <xf numFmtId="166" fontId="2" fillId="3" borderId="0" xfId="1" applyNumberFormat="1" applyFont="1" applyFill="1" applyAlignment="1">
      <alignment horizontal="right"/>
    </xf>
    <xf numFmtId="41" fontId="2" fillId="3" borderId="4" xfId="0" applyNumberFormat="1" applyFont="1" applyFill="1" applyBorder="1" applyAlignment="1"/>
    <xf numFmtId="42" fontId="4" fillId="3" borderId="11" xfId="0" applyNumberFormat="1" applyFont="1" applyFill="1" applyBorder="1" applyAlignment="1"/>
    <xf numFmtId="0" fontId="3" fillId="3" borderId="0" xfId="0" applyNumberFormat="1" applyFont="1" applyFill="1" applyAlignment="1"/>
    <xf numFmtId="166" fontId="27" fillId="3" borderId="10" xfId="1" applyNumberFormat="1" applyFont="1" applyFill="1" applyBorder="1"/>
    <xf numFmtId="166" fontId="18" fillId="3" borderId="31" xfId="21" applyNumberFormat="1" applyFont="1" applyFill="1" applyBorder="1" applyAlignment="1"/>
    <xf numFmtId="166" fontId="27" fillId="3" borderId="26" xfId="21" applyNumberFormat="1" applyFont="1" applyFill="1" applyBorder="1"/>
    <xf numFmtId="166" fontId="27" fillId="3" borderId="31" xfId="21" applyNumberFormat="1" applyFont="1" applyFill="1" applyBorder="1"/>
    <xf numFmtId="10" fontId="27" fillId="3" borderId="29" xfId="22" applyNumberFormat="1" applyFont="1" applyFill="1" applyBorder="1"/>
    <xf numFmtId="166" fontId="27" fillId="3" borderId="10" xfId="22" applyNumberFormat="1" applyFont="1" applyFill="1" applyBorder="1"/>
    <xf numFmtId="166" fontId="27" fillId="3" borderId="12" xfId="0" applyNumberFormat="1" applyFont="1" applyFill="1" applyBorder="1" applyAlignment="1"/>
    <xf numFmtId="166" fontId="27" fillId="3" borderId="10" xfId="1" applyNumberFormat="1" applyFont="1" applyFill="1" applyBorder="1" applyAlignment="1"/>
    <xf numFmtId="166" fontId="27" fillId="3" borderId="30" xfId="21" applyNumberFormat="1" applyFont="1" applyFill="1" applyBorder="1"/>
    <xf numFmtId="166" fontId="27" fillId="3" borderId="25" xfId="21" applyNumberFormat="1" applyFont="1" applyFill="1" applyBorder="1"/>
    <xf numFmtId="166" fontId="3" fillId="3" borderId="20" xfId="1" applyNumberFormat="1" applyFont="1" applyFill="1" applyBorder="1" applyAlignment="1"/>
    <xf numFmtId="43" fontId="5" fillId="3" borderId="20" xfId="0" applyNumberFormat="1" applyFont="1" applyFill="1" applyBorder="1" applyAlignment="1"/>
    <xf numFmtId="166" fontId="5" fillId="3" borderId="21" xfId="0" applyNumberFormat="1" applyFont="1" applyFill="1" applyBorder="1" applyAlignment="1"/>
    <xf numFmtId="166" fontId="5" fillId="3" borderId="20" xfId="0" applyNumberFormat="1" applyFont="1" applyFill="1" applyBorder="1" applyAlignment="1"/>
    <xf numFmtId="166" fontId="3" fillId="3" borderId="0" xfId="0" applyNumberFormat="1" applyFont="1" applyFill="1" applyAlignment="1"/>
    <xf numFmtId="166" fontId="3" fillId="3" borderId="3" xfId="0" applyNumberFormat="1" applyFont="1" applyFill="1" applyBorder="1" applyAlignment="1"/>
    <xf numFmtId="166" fontId="18" fillId="3" borderId="0" xfId="1" applyNumberFormat="1" applyFont="1" applyFill="1"/>
    <xf numFmtId="166" fontId="18" fillId="3" borderId="0" xfId="21" applyNumberFormat="1" applyFont="1" applyFill="1"/>
    <xf numFmtId="166" fontId="18" fillId="3" borderId="0" xfId="21" applyNumberFormat="1" applyFont="1" applyFill="1" applyBorder="1"/>
    <xf numFmtId="166" fontId="18" fillId="3" borderId="10" xfId="1" applyNumberFormat="1" applyFont="1" applyFill="1" applyBorder="1" applyAlignment="1"/>
    <xf numFmtId="41" fontId="18" fillId="3" borderId="10" xfId="0" applyNumberFormat="1" applyFont="1" applyFill="1" applyBorder="1" applyAlignment="1"/>
    <xf numFmtId="166" fontId="18" fillId="3" borderId="4" xfId="21" applyNumberFormat="1" applyFont="1" applyFill="1" applyBorder="1"/>
    <xf numFmtId="166" fontId="18" fillId="3" borderId="5" xfId="1" applyNumberFormat="1" applyFont="1" applyFill="1" applyBorder="1"/>
    <xf numFmtId="165" fontId="18" fillId="3" borderId="49" xfId="17" applyNumberFormat="1" applyFont="1" applyFill="1" applyBorder="1"/>
    <xf numFmtId="165" fontId="17" fillId="3" borderId="25" xfId="17" applyNumberFormat="1" applyFont="1" applyFill="1" applyBorder="1"/>
    <xf numFmtId="10" fontId="18" fillId="3" borderId="0" xfId="24" applyNumberFormat="1" applyFont="1" applyFill="1" applyBorder="1"/>
    <xf numFmtId="165" fontId="17" fillId="3" borderId="31" xfId="17" applyNumberFormat="1" applyFont="1" applyFill="1" applyBorder="1"/>
    <xf numFmtId="0" fontId="4" fillId="0" borderId="0" xfId="0" applyNumberFormat="1" applyFont="1" applyFill="1" applyAlignment="1">
      <alignment horizontal="center"/>
    </xf>
    <xf numFmtId="0" fontId="4" fillId="0" borderId="7" xfId="5" applyNumberFormat="1" applyFont="1" applyBorder="1" applyAlignment="1">
      <alignment horizontal="center"/>
    </xf>
    <xf numFmtId="0" fontId="4" fillId="0" borderId="9" xfId="5" applyNumberFormat="1" applyFont="1" applyBorder="1" applyAlignment="1">
      <alignment horizontal="center"/>
    </xf>
    <xf numFmtId="0" fontId="4" fillId="0" borderId="8" xfId="5" applyNumberFormat="1" applyFont="1" applyBorder="1" applyAlignment="1">
      <alignment horizontal="center"/>
    </xf>
    <xf numFmtId="0" fontId="17" fillId="3" borderId="0" xfId="0" applyNumberFormat="1" applyFont="1" applyFill="1" applyAlignment="1">
      <alignment horizontal="center"/>
    </xf>
    <xf numFmtId="0" fontId="18" fillId="3" borderId="0" xfId="0" applyNumberFormat="1" applyFont="1" applyFill="1" applyAlignment="1">
      <alignment horizontal="center"/>
    </xf>
    <xf numFmtId="0" fontId="4" fillId="0" borderId="0" xfId="0" applyNumberFormat="1" applyFont="1" applyAlignment="1">
      <alignment horizontal="center"/>
    </xf>
    <xf numFmtId="0" fontId="4" fillId="0" borderId="0" xfId="0" applyNumberFormat="1" applyFont="1" applyFill="1" applyAlignment="1" applyProtection="1">
      <alignment horizontal="center"/>
      <protection locked="0"/>
    </xf>
    <xf numFmtId="0" fontId="3" fillId="0" borderId="0" xfId="0" applyNumberFormat="1" applyFont="1" applyAlignment="1">
      <alignment horizontal="left" wrapText="1"/>
    </xf>
    <xf numFmtId="0" fontId="3" fillId="0" borderId="4" xfId="0" applyNumberFormat="1" applyFont="1" applyBorder="1" applyAlignment="1">
      <alignment horizontal="left" vertical="center" wrapText="1"/>
    </xf>
    <xf numFmtId="0" fontId="3" fillId="0" borderId="16" xfId="0" applyNumberFormat="1" applyFont="1" applyBorder="1" applyAlignment="1">
      <alignment horizontal="left" vertical="center" wrapText="1"/>
    </xf>
    <xf numFmtId="0" fontId="3" fillId="0" borderId="0" xfId="0" applyNumberFormat="1" applyFont="1" applyBorder="1" applyAlignment="1">
      <alignment horizontal="left" vertical="center" wrapText="1"/>
    </xf>
    <xf numFmtId="0" fontId="3" fillId="0" borderId="14" xfId="0" applyNumberFormat="1" applyFont="1" applyBorder="1" applyAlignment="1">
      <alignment horizontal="left" vertical="center" wrapText="1"/>
    </xf>
    <xf numFmtId="0" fontId="3" fillId="0" borderId="5" xfId="0" applyNumberFormat="1" applyFont="1" applyBorder="1" applyAlignment="1">
      <alignment horizontal="left" vertical="center" wrapText="1"/>
    </xf>
    <xf numFmtId="0" fontId="3" fillId="0" borderId="18" xfId="0" applyNumberFormat="1" applyFont="1" applyBorder="1" applyAlignment="1">
      <alignment horizontal="left" vertical="center" wrapText="1"/>
    </xf>
    <xf numFmtId="0" fontId="27" fillId="0" borderId="0" xfId="0" applyNumberFormat="1" applyFont="1" applyAlignment="1">
      <alignment horizontal="center" wrapText="1"/>
    </xf>
    <xf numFmtId="0" fontId="27" fillId="0" borderId="10" xfId="0" applyNumberFormat="1" applyFont="1" applyBorder="1" applyAlignment="1">
      <alignment horizontal="center"/>
    </xf>
    <xf numFmtId="0" fontId="31" fillId="0" borderId="45" xfId="0" applyNumberFormat="1" applyFont="1" applyBorder="1" applyAlignment="1">
      <alignment horizontal="center"/>
    </xf>
    <xf numFmtId="0" fontId="31" fillId="0" borderId="44" xfId="0" applyNumberFormat="1" applyFont="1" applyBorder="1" applyAlignment="1">
      <alignment horizontal="center"/>
    </xf>
    <xf numFmtId="166" fontId="18" fillId="0" borderId="7" xfId="1" applyNumberFormat="1" applyFont="1" applyFill="1" applyBorder="1" applyAlignment="1">
      <alignment horizontal="center" vertical="center" wrapText="1"/>
    </xf>
    <xf numFmtId="166" fontId="18" fillId="0" borderId="9" xfId="1" applyNumberFormat="1" applyFont="1" applyFill="1" applyBorder="1" applyAlignment="1">
      <alignment horizontal="center" vertical="center" wrapText="1"/>
    </xf>
    <xf numFmtId="166" fontId="18" fillId="0" borderId="8" xfId="1" applyNumberFormat="1" applyFont="1" applyFill="1" applyBorder="1" applyAlignment="1">
      <alignment horizontal="center" vertical="center" wrapText="1"/>
    </xf>
    <xf numFmtId="0" fontId="17" fillId="0" borderId="0" xfId="0" applyNumberFormat="1" applyFont="1" applyFill="1" applyAlignment="1" applyProtection="1">
      <alignment horizontal="center"/>
      <protection locked="0"/>
    </xf>
    <xf numFmtId="0" fontId="4" fillId="0" borderId="7" xfId="7" applyNumberFormat="1" applyFont="1" applyBorder="1" applyAlignment="1">
      <alignment horizontal="center"/>
    </xf>
    <xf numFmtId="0" fontId="4" fillId="0" borderId="9" xfId="7" applyNumberFormat="1" applyFont="1" applyBorder="1" applyAlignment="1">
      <alignment horizontal="center"/>
    </xf>
    <xf numFmtId="0" fontId="4" fillId="0" borderId="8" xfId="7" applyNumberFormat="1" applyFont="1" applyBorder="1" applyAlignment="1">
      <alignment horizontal="center"/>
    </xf>
    <xf numFmtId="0" fontId="4" fillId="0" borderId="0" xfId="7" applyNumberFormat="1" applyFont="1" applyFill="1" applyAlignment="1">
      <alignment horizontal="center"/>
    </xf>
    <xf numFmtId="49" fontId="2" fillId="0" borderId="31" xfId="7" applyNumberFormat="1" applyFont="1" applyFill="1" applyBorder="1" applyAlignment="1">
      <alignment horizontal="left" vertical="center" wrapText="1"/>
    </xf>
    <xf numFmtId="0" fontId="2" fillId="0" borderId="31" xfId="7" applyNumberFormat="1" applyFont="1" applyFill="1" applyBorder="1" applyAlignment="1">
      <alignment horizontal="left" vertical="center" wrapText="1"/>
    </xf>
    <xf numFmtId="166" fontId="43" fillId="3" borderId="6" xfId="21" applyNumberFormat="1" applyFont="1" applyFill="1" applyBorder="1"/>
  </cellXfs>
  <cellStyles count="28">
    <cellStyle name="Comma" xfId="1" builtinId="3"/>
    <cellStyle name="Comma 10 2 2" xfId="21"/>
    <cellStyle name="Comma 15" xfId="18"/>
    <cellStyle name="Comma 2 2 5" xfId="23"/>
    <cellStyle name="Comma 3" xfId="6"/>
    <cellStyle name="Comma 3 13" xfId="25"/>
    <cellStyle name="Currency" xfId="2" builtinId="4"/>
    <cellStyle name="Currency 10 2 2" xfId="17"/>
    <cellStyle name="Currency 2" xfId="8"/>
    <cellStyle name="Currency 28" xfId="15"/>
    <cellStyle name="Currency 3" xfId="4"/>
    <cellStyle name="Currency 3 14" xfId="26"/>
    <cellStyle name="Normal" xfId="0" builtinId="0"/>
    <cellStyle name="Normal 16" xfId="10"/>
    <cellStyle name="Normal 2" xfId="13"/>
    <cellStyle name="Normal 2 10" xfId="14"/>
    <cellStyle name="Normal 2 8" xfId="9"/>
    <cellStyle name="Normal 3" xfId="5"/>
    <cellStyle name="Normal 3 20" xfId="7"/>
    <cellStyle name="Normal 82" xfId="16"/>
    <cellStyle name="Normal_Hopkins Ridge" xfId="11"/>
    <cellStyle name="Normal_Wild Horse 2006 GRC" xfId="19"/>
    <cellStyle name="Percent" xfId="3" builtinId="5"/>
    <cellStyle name="Percent 10 10" xfId="24"/>
    <cellStyle name="Percent 2 2" xfId="22"/>
    <cellStyle name="Percent 2 2 5" xfId="20"/>
    <cellStyle name="Percent 2 7" xfId="27"/>
    <cellStyle name="Style 1 10" xfId="12"/>
  </cellStyles>
  <dxfs count="10">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s>
  <tableStyles count="0" defaultTableStyle="TableStyleMedium2" defaultPivotStyle="PivotStyleLight16"/>
  <colors>
    <mruColors>
      <color rgb="FF7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20LEASE%20OP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udget\2011%20Bgt\Units\11%20AOP_A_mo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emp\Temporary%20Internet%20Files\Content.Outlook\S5M2I7E6\1&amp;2%20Section%203%202011%20AOP\Section%203\Section%203%20SpreadShee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ower%20Costs\Resources\Coal\WEC%20Pricing%20Analysis\2012\Colstrip%201&amp;2%202012%20AOP%20Final%20Version.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Startup" Target="%23%20%202017%20GRC/JAP%20Testimony/JAP-07%20(ECOS%20Model%20v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70034-Staff-WP-MCC-7,8,9,10,11%20Revise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Model\UE-170033\Prior%20GRC\Martin%20-%20Electric\111048-111049%20Martin%20Exhibits%20RCM-2%20RCM-3%20RCM-4%20RCM-5%20RCM-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row r="5">
          <cell r="D5" t="str">
            <v>JAN</v>
          </cell>
          <cell r="E5" t="str">
            <v>FEB</v>
          </cell>
          <cell r="F5" t="str">
            <v>MAR</v>
          </cell>
          <cell r="G5" t="str">
            <v>APR</v>
          </cell>
          <cell r="H5" t="str">
            <v>MAY</v>
          </cell>
          <cell r="I5" t="str">
            <v>JUN</v>
          </cell>
          <cell r="J5" t="str">
            <v>JUL</v>
          </cell>
          <cell r="K5" t="str">
            <v>AUG</v>
          </cell>
          <cell r="L5" t="str">
            <v>SEP</v>
          </cell>
          <cell r="M5" t="str">
            <v>OCT</v>
          </cell>
          <cell r="N5" t="str">
            <v>NOV</v>
          </cell>
          <cell r="O5" t="str">
            <v>DEC</v>
          </cell>
        </row>
        <row r="9">
          <cell r="D9">
            <v>730168.91075395152</v>
          </cell>
          <cell r="E9">
            <v>679008.12546645221</v>
          </cell>
          <cell r="F9">
            <v>730210.35422799038</v>
          </cell>
          <cell r="G9">
            <v>711900</v>
          </cell>
          <cell r="H9">
            <v>439100</v>
          </cell>
          <cell r="I9">
            <v>565300</v>
          </cell>
          <cell r="J9">
            <v>742700</v>
          </cell>
          <cell r="K9">
            <v>743600</v>
          </cell>
          <cell r="L9">
            <v>727500</v>
          </cell>
          <cell r="M9">
            <v>733700</v>
          </cell>
          <cell r="N9">
            <v>670200</v>
          </cell>
          <cell r="O9">
            <v>659900</v>
          </cell>
        </row>
        <row r="71">
          <cell r="D71">
            <v>0</v>
          </cell>
          <cell r="E71">
            <v>0</v>
          </cell>
          <cell r="F71">
            <v>170000</v>
          </cell>
          <cell r="G71">
            <v>340000</v>
          </cell>
          <cell r="H71">
            <v>320000</v>
          </cell>
          <cell r="I71">
            <v>40000</v>
          </cell>
          <cell r="J71">
            <v>140000</v>
          </cell>
          <cell r="K71">
            <v>55000</v>
          </cell>
          <cell r="L71">
            <v>105000</v>
          </cell>
          <cell r="M71">
            <v>120000</v>
          </cell>
          <cell r="N71">
            <v>110000</v>
          </cell>
          <cell r="O71">
            <v>100000</v>
          </cell>
        </row>
        <row r="72">
          <cell r="D72">
            <v>57600</v>
          </cell>
          <cell r="E72">
            <v>43200</v>
          </cell>
          <cell r="F72">
            <v>4800</v>
          </cell>
          <cell r="G72">
            <v>0</v>
          </cell>
          <cell r="H72">
            <v>0</v>
          </cell>
          <cell r="I72">
            <v>0</v>
          </cell>
          <cell r="J72">
            <v>0</v>
          </cell>
          <cell r="K72">
            <v>0</v>
          </cell>
          <cell r="L72">
            <v>0</v>
          </cell>
          <cell r="M72">
            <v>2400</v>
          </cell>
          <cell r="N72">
            <v>0</v>
          </cell>
          <cell r="O72">
            <v>0</v>
          </cell>
        </row>
      </sheetData>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INPUTS"/>
      <sheetName val="CLASSIFIERS"/>
      <sheetName val="EXTERNAL"/>
      <sheetName val="INTERNAL"/>
      <sheetName val="ACCOUNTS"/>
      <sheetName val="CLASS"/>
      <sheetName val="FUNCALLOC"/>
      <sheetName val="CLASSALLOC"/>
      <sheetName val="ACCOUNTALLOC"/>
      <sheetName val="ALLOC"/>
      <sheetName val="FUNCALLOCD"/>
      <sheetName val="REV REQ"/>
      <sheetName val="Account Summary"/>
      <sheetName val="SUMMARY"/>
      <sheetName val="BC detail"/>
      <sheetName val="Salary &amp; Wage Summary"/>
      <sheetName val="ErrorCheck"/>
      <sheetName val="Class Summary"/>
      <sheetName val="Energy Summary"/>
      <sheetName val="Demand Summary"/>
      <sheetName val="Customer Summary"/>
      <sheetName val="Revenue Summary"/>
      <sheetName val="Expense Summary"/>
      <sheetName val="Ratebase Summary"/>
      <sheetName val="Basic Charge"/>
      <sheetName val="Sch 40 Feeder "/>
      <sheetName val="Sch 40 Substation O&amp;M"/>
      <sheetName val="Sch 40 Substation A&amp;G"/>
      <sheetName val="Delivery Costs"/>
      <sheetName val="Dist Costs (Line Ext)"/>
    </sheetNames>
    <sheetDataSet>
      <sheetData sheetId="0" refreshError="1"/>
      <sheetData sheetId="1">
        <row r="5">
          <cell r="B5" t="str">
            <v>Historic Test Year Twelve Months ended September 2016</v>
          </cell>
        </row>
        <row r="11">
          <cell r="C11">
            <v>2</v>
          </cell>
        </row>
        <row r="30">
          <cell r="F30">
            <v>2.9899999999999999E-2</v>
          </cell>
        </row>
        <row r="34">
          <cell r="F34">
            <v>0</v>
          </cell>
        </row>
        <row r="35">
          <cell r="F35">
            <v>0</v>
          </cell>
        </row>
        <row r="36">
          <cell r="F36">
            <v>0</v>
          </cell>
        </row>
        <row r="39">
          <cell r="F39">
            <v>0</v>
          </cell>
        </row>
        <row r="44">
          <cell r="F44">
            <v>0.61905100000000002</v>
          </cell>
        </row>
      </sheetData>
      <sheetData sheetId="2">
        <row r="3">
          <cell r="D3" t="str">
            <v>DEM</v>
          </cell>
        </row>
      </sheetData>
      <sheetData sheetId="3" refreshError="1"/>
      <sheetData sheetId="4" refreshError="1"/>
      <sheetData sheetId="5">
        <row r="5">
          <cell r="A5" t="str">
            <v>RATE BASE</v>
          </cell>
        </row>
      </sheetData>
      <sheetData sheetId="6" refreshError="1"/>
      <sheetData sheetId="7">
        <row r="409">
          <cell r="CY409">
            <v>188027009.93499625</v>
          </cell>
        </row>
      </sheetData>
      <sheetData sheetId="8">
        <row r="2">
          <cell r="H2">
            <v>5</v>
          </cell>
        </row>
      </sheetData>
      <sheetData sheetId="9">
        <row r="10">
          <cell r="K10">
            <v>37713421.826332599</v>
          </cell>
        </row>
      </sheetData>
      <sheetData sheetId="10" refreshError="1"/>
      <sheetData sheetId="11" refreshError="1"/>
      <sheetData sheetId="12">
        <row r="345">
          <cell r="D345">
            <v>0</v>
          </cell>
        </row>
      </sheetData>
      <sheetData sheetId="13">
        <row r="4">
          <cell r="D4" t="str">
            <v>Total</v>
          </cell>
        </row>
      </sheetData>
      <sheetData sheetId="14">
        <row r="10">
          <cell r="G10">
            <v>5485102021.7180748</v>
          </cell>
        </row>
      </sheetData>
      <sheetData sheetId="15">
        <row r="9">
          <cell r="G9">
            <v>88452023.525747895</v>
          </cell>
        </row>
      </sheetData>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MCC-13 (2)"/>
      <sheetName val="INDEX"/>
      <sheetName val="MCC-7 page 1-4"/>
      <sheetName val="MCC-7 page 5-27"/>
      <sheetName val="MCC-7 page 28"/>
      <sheetName val="EXHIBIT MCC-8"/>
      <sheetName val="EXHIBIT MCC-9"/>
      <sheetName val="EXHIBIT MCC-10"/>
      <sheetName val="EXHIBIT MCC-11"/>
      <sheetName val="EXHIBIT MCC-13"/>
    </sheetNames>
    <sheetDataSet>
      <sheetData sheetId="0"/>
      <sheetData sheetId="1"/>
      <sheetData sheetId="2"/>
      <sheetData sheetId="3"/>
      <sheetData sheetId="4"/>
      <sheetData sheetId="5">
        <row r="23">
          <cell r="Q23">
            <v>0.62044999999999995</v>
          </cell>
        </row>
      </sheetData>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 Page 1-5"/>
      <sheetName val=" Page 6-15"/>
      <sheetName val="Page 6(A)"/>
      <sheetName val=" Page 16"/>
      <sheetName val=" Page 17-37"/>
      <sheetName val="EXHIBIT (RCM-3)"/>
      <sheetName val="EXHIBIT (RCM-4)"/>
      <sheetName val="EXHIBIT (RCM-5)"/>
      <sheetName val="EXHIBIT (RCM-6)"/>
      <sheetName val="SUPPORT"/>
      <sheetName val="Restated TY Prop Tax"/>
      <sheetName val="Prod Prop Tax"/>
      <sheetName val="Production Adjustment"/>
      <sheetName val="Production Plant Premiums"/>
      <sheetName val="Prod Plant"/>
      <sheetName val="DEM RY PC"/>
      <sheetName val="Production Factor"/>
      <sheetName val="Prodn OM11GRC"/>
      <sheetName val="EB&amp;Taxes"/>
      <sheetName val="TransmRev"/>
      <sheetName val="PCA Ex A-2"/>
      <sheetName val="PCA Ex A-3"/>
      <sheetName val="PCA Ex A-4"/>
      <sheetName val="PCA Ex A-5"/>
      <sheetName val="Restating Print Macros"/>
      <sheetName val="Module13"/>
      <sheetName val="Module14"/>
      <sheetName val="Module15"/>
      <sheetName val="Module1"/>
      <sheetName val="13.10 REC OFFSET"/>
      <sheetName val="13.10 LSR DEFERRED COSTS"/>
      <sheetName val="13.03 LSR PPD TRANS DEP"/>
      <sheetName val="13.10 Sumas 2008 CI"/>
      <sheetName val="13.10Freddy"/>
      <sheetName val="13.10 Sumas 2010HGP INSP"/>
      <sheetName val="13.10 Goldendale2009"/>
      <sheetName val="13.10 Mint Farm"/>
      <sheetName val="13.10ColstripPrepaid"/>
    </sheetNames>
    <sheetDataSet>
      <sheetData sheetId="0"/>
      <sheetData sheetId="1">
        <row r="2">
          <cell r="AQ2" t="str">
            <v>Docket No. UE-111048/UG111049</v>
          </cell>
        </row>
        <row r="3">
          <cell r="AQ3" t="str">
            <v>Exhibit No. ___ (RCM-2)</v>
          </cell>
        </row>
      </sheetData>
      <sheetData sheetId="2">
        <row r="3">
          <cell r="E3" t="str">
            <v>Exhibit No.    (RCM-2)</v>
          </cell>
        </row>
      </sheetData>
      <sheetData sheetId="3"/>
      <sheetData sheetId="4"/>
      <sheetData sheetId="5">
        <row r="3">
          <cell r="G3" t="str">
            <v>Exhibit No.     (RCM-2)</v>
          </cell>
        </row>
        <row r="7">
          <cell r="A7" t="str">
            <v>FOR THE TWELVE MONTHS ENDED DECEMBER 31, 2010</v>
          </cell>
        </row>
      </sheetData>
      <sheetData sheetId="6">
        <row r="20">
          <cell r="L20">
            <v>0.35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O98"/>
  <sheetViews>
    <sheetView tabSelected="1" view="pageBreakPreview" zoomScale="80" zoomScaleNormal="85" zoomScaleSheetLayoutView="80" workbookViewId="0">
      <pane xSplit="4" ySplit="16" topLeftCell="AO17" activePane="bottomRight" state="frozen"/>
      <selection activeCell="BB2" sqref="BB2"/>
      <selection pane="topRight" activeCell="BB2" sqref="BB2"/>
      <selection pane="bottomLeft" activeCell="BB2" sqref="BB2"/>
      <selection pane="bottomRight" activeCell="BB2" sqref="BB2"/>
    </sheetView>
  </sheetViews>
  <sheetFormatPr defaultColWidth="10.6640625" defaultRowHeight="12.75" outlineLevelRow="1" outlineLevelCol="1"/>
  <cols>
    <col min="1" max="1" width="7.33203125" style="5" customWidth="1"/>
    <col min="2" max="2" width="52.33203125" style="3" customWidth="1"/>
    <col min="3" max="3" width="13.1640625" style="3" customWidth="1"/>
    <col min="4" max="4" width="20" style="3" customWidth="1"/>
    <col min="5" max="5" width="15.5" style="3" customWidth="1"/>
    <col min="6" max="6" width="27.1640625" style="3" customWidth="1"/>
    <col min="7" max="7" width="20.5" style="3" customWidth="1"/>
    <col min="8" max="8" width="17.83203125" style="3" customWidth="1"/>
    <col min="9" max="9" width="28" style="3" customWidth="1"/>
    <col min="10" max="11" width="20" style="3" customWidth="1"/>
    <col min="12" max="12" width="18.33203125" style="3" bestFit="1" customWidth="1"/>
    <col min="13" max="17" width="20.6640625" style="3" customWidth="1"/>
    <col min="18" max="18" width="24" style="3" customWidth="1"/>
    <col min="19" max="19" width="19.1640625" style="3" customWidth="1"/>
    <col min="20" max="20" width="20.83203125" style="3" bestFit="1" customWidth="1"/>
    <col min="21" max="21" width="20.6640625" style="3" customWidth="1"/>
    <col min="22" max="22" width="19" style="3" customWidth="1"/>
    <col min="23" max="23" width="20.83203125" style="3" bestFit="1" customWidth="1"/>
    <col min="24" max="24" width="22" style="3" customWidth="1"/>
    <col min="25" max="25" width="25.5" style="3" bestFit="1" customWidth="1"/>
    <col min="26" max="26" width="20.6640625" style="3" customWidth="1"/>
    <col min="27" max="29" width="20" style="3" customWidth="1"/>
    <col min="30" max="30" width="21.5" style="3" customWidth="1"/>
    <col min="31" max="31" width="20.6640625" style="3" customWidth="1"/>
    <col min="32" max="32" width="18.83203125" style="3" customWidth="1"/>
    <col min="33" max="33" width="24" style="3" customWidth="1"/>
    <col min="34" max="34" width="22" style="3" customWidth="1"/>
    <col min="35" max="35" width="19.1640625" style="3" customWidth="1"/>
    <col min="36" max="36" width="18.5" style="3" customWidth="1"/>
    <col min="37" max="37" width="17.1640625" style="3" customWidth="1"/>
    <col min="38" max="39" width="26.33203125" style="3" bestFit="1" customWidth="1"/>
    <col min="40" max="40" width="19" style="3" customWidth="1"/>
    <col min="41" max="41" width="25.83203125" style="3" bestFit="1" customWidth="1"/>
    <col min="42" max="42" width="23" style="3" customWidth="1"/>
    <col min="43" max="44" width="20.6640625" style="3" customWidth="1"/>
    <col min="45" max="45" width="23" style="3" bestFit="1" customWidth="1"/>
    <col min="46" max="48" width="20.6640625" style="3" customWidth="1"/>
    <col min="49" max="49" width="20.6640625" style="4" customWidth="1"/>
    <col min="50" max="50" width="2.83203125" style="3" customWidth="1" outlineLevel="1"/>
    <col min="51" max="51" width="13.83203125" style="2" customWidth="1" outlineLevel="1"/>
    <col min="52" max="53" width="23.1640625" style="1" customWidth="1"/>
    <col min="54" max="54" width="15.6640625" style="1" customWidth="1"/>
    <col min="55" max="55" width="10.6640625" style="1"/>
    <col min="56" max="56" width="15.5" style="1" bestFit="1" customWidth="1"/>
    <col min="57" max="16384" width="10.6640625" style="1"/>
  </cols>
  <sheetData>
    <row r="1" spans="1:54">
      <c r="A1" s="25"/>
      <c r="I1" s="12" t="str">
        <f>k_Docket_Number</f>
        <v>Exh. MCC-2r</v>
      </c>
      <c r="R1" s="12" t="str">
        <f>k_Docket_Number</f>
        <v>Exh. MCC-2r</v>
      </c>
      <c r="AA1" s="12" t="str">
        <f>k_Docket_Number</f>
        <v>Exh. MCC-2r</v>
      </c>
      <c r="AB1" s="12"/>
      <c r="AJ1" s="12" t="str">
        <f>k_Docket_Number</f>
        <v>Exh. MCC-2r</v>
      </c>
      <c r="AP1" s="12"/>
      <c r="AQ1" s="120"/>
      <c r="AR1" s="12" t="str">
        <f>k_Docket_Number</f>
        <v>Exh. MCC-2r</v>
      </c>
      <c r="BB1" s="12" t="s">
        <v>870</v>
      </c>
    </row>
    <row r="2" spans="1:54">
      <c r="A2" s="25"/>
      <c r="I2" s="12" t="str">
        <f>BB2</f>
        <v>Dockets UE-170033/UG-170034</v>
      </c>
      <c r="R2" s="12" t="str">
        <f>BB2</f>
        <v>Dockets UE-170033/UG-170034</v>
      </c>
      <c r="AA2" s="12" t="str">
        <f>BB2</f>
        <v>Dockets UE-170033/UG-170034</v>
      </c>
      <c r="AB2" s="12"/>
      <c r="AJ2" s="12" t="str">
        <f>BB2</f>
        <v>Dockets UE-170033/UG-170034</v>
      </c>
      <c r="AP2" s="12"/>
      <c r="AR2" s="12" t="str">
        <f>BB2</f>
        <v>Dockets UE-170033/UG-170034</v>
      </c>
      <c r="BB2" s="12" t="s">
        <v>155</v>
      </c>
    </row>
    <row r="3" spans="1:54">
      <c r="A3" s="25"/>
      <c r="E3" s="78"/>
      <c r="G3" s="78"/>
      <c r="H3" s="78"/>
      <c r="I3" s="12" t="s">
        <v>154</v>
      </c>
      <c r="N3" s="78"/>
      <c r="O3" s="78"/>
      <c r="R3" s="12" t="s">
        <v>153</v>
      </c>
      <c r="AA3" s="12" t="s">
        <v>152</v>
      </c>
      <c r="AD3" s="78"/>
      <c r="AJ3" s="12" t="s">
        <v>151</v>
      </c>
      <c r="AP3" s="12"/>
      <c r="AQ3" s="78"/>
      <c r="AR3" s="12" t="s">
        <v>150</v>
      </c>
      <c r="BB3" s="12" t="s">
        <v>149</v>
      </c>
    </row>
    <row r="4" spans="1:54" s="22" customFormat="1" ht="13.5" thickBot="1">
      <c r="A4" s="116"/>
      <c r="B4" s="17"/>
      <c r="C4" s="17"/>
      <c r="D4" s="116"/>
      <c r="E4" s="116"/>
      <c r="F4" s="4"/>
      <c r="G4" s="116"/>
      <c r="H4" s="116"/>
      <c r="I4" s="118"/>
      <c r="J4" s="118"/>
      <c r="K4" s="118"/>
      <c r="L4" s="4"/>
      <c r="M4" s="4"/>
      <c r="N4" s="116"/>
      <c r="O4" s="116"/>
      <c r="P4" s="4"/>
      <c r="Q4" s="4"/>
      <c r="R4" s="119"/>
      <c r="S4" s="118"/>
      <c r="T4" s="4"/>
      <c r="U4" s="4"/>
      <c r="V4" s="116"/>
      <c r="W4" s="4"/>
      <c r="X4" s="4"/>
      <c r="Y4" s="4"/>
      <c r="Z4" s="4"/>
      <c r="AA4" s="118"/>
      <c r="AB4" s="118"/>
      <c r="AC4" s="118"/>
      <c r="AD4" s="116"/>
      <c r="AE4" s="4"/>
      <c r="AF4" s="116"/>
      <c r="AG4" s="4"/>
      <c r="AH4" s="4"/>
      <c r="AI4" s="4"/>
      <c r="AJ4" s="4"/>
      <c r="AK4" s="118"/>
      <c r="AL4" s="4"/>
      <c r="AM4" s="4"/>
      <c r="AN4" s="4"/>
      <c r="AO4" s="4"/>
      <c r="AP4" s="93"/>
      <c r="AQ4" s="4"/>
      <c r="AR4" s="118"/>
      <c r="AS4" s="116"/>
      <c r="AT4" s="116"/>
      <c r="AU4" s="116"/>
      <c r="AV4" s="93"/>
      <c r="AW4" s="117"/>
      <c r="AX4" s="116"/>
      <c r="AY4" s="17"/>
    </row>
    <row r="5" spans="1:54" s="114" customFormat="1" ht="13.5" thickBot="1">
      <c r="F5" s="26" t="s">
        <v>148</v>
      </c>
      <c r="L5" s="916" t="s">
        <v>148</v>
      </c>
      <c r="M5" s="916"/>
      <c r="N5" s="916"/>
      <c r="O5" s="916"/>
      <c r="P5" s="916"/>
      <c r="Q5" s="916"/>
      <c r="R5" s="916"/>
      <c r="S5" s="916"/>
      <c r="T5" s="916" t="s">
        <v>148</v>
      </c>
      <c r="U5" s="916"/>
      <c r="V5" s="916"/>
      <c r="W5" s="916"/>
      <c r="X5" s="916"/>
      <c r="Y5" s="916"/>
      <c r="Z5" s="916"/>
      <c r="AA5" s="916"/>
      <c r="AB5" s="26"/>
      <c r="AC5" s="26"/>
      <c r="AD5" s="916" t="s">
        <v>148</v>
      </c>
      <c r="AE5" s="916"/>
      <c r="AF5" s="916"/>
      <c r="AG5" s="916"/>
      <c r="AH5" s="916"/>
      <c r="AI5" s="916"/>
      <c r="AJ5" s="916"/>
      <c r="AK5" s="916"/>
      <c r="AL5" s="916" t="s">
        <v>148</v>
      </c>
      <c r="AM5" s="916"/>
      <c r="AN5" s="916"/>
      <c r="AO5" s="916"/>
      <c r="AP5" s="916"/>
      <c r="AQ5" s="916"/>
      <c r="AR5" s="916"/>
      <c r="AU5" s="26" t="s">
        <v>148</v>
      </c>
      <c r="AZ5" s="917" t="s">
        <v>147</v>
      </c>
      <c r="BA5" s="918"/>
      <c r="BB5" s="919"/>
    </row>
    <row r="6" spans="1:54" s="114" customFormat="1">
      <c r="F6" s="26" t="s">
        <v>146</v>
      </c>
      <c r="L6" s="916" t="s">
        <v>146</v>
      </c>
      <c r="M6" s="916"/>
      <c r="N6" s="916"/>
      <c r="O6" s="916"/>
      <c r="P6" s="916"/>
      <c r="Q6" s="916"/>
      <c r="R6" s="916"/>
      <c r="S6" s="916"/>
      <c r="T6" s="916" t="s">
        <v>146</v>
      </c>
      <c r="U6" s="916"/>
      <c r="V6" s="916"/>
      <c r="W6" s="916"/>
      <c r="X6" s="916"/>
      <c r="Y6" s="916"/>
      <c r="Z6" s="916"/>
      <c r="AA6" s="916"/>
      <c r="AB6" s="26"/>
      <c r="AC6" s="26"/>
      <c r="AD6" s="916" t="s">
        <v>146</v>
      </c>
      <c r="AE6" s="916"/>
      <c r="AF6" s="916"/>
      <c r="AG6" s="916"/>
      <c r="AH6" s="916"/>
      <c r="AI6" s="916"/>
      <c r="AJ6" s="916"/>
      <c r="AK6" s="916"/>
      <c r="AL6" s="916" t="s">
        <v>146</v>
      </c>
      <c r="AM6" s="916"/>
      <c r="AN6" s="916"/>
      <c r="AO6" s="916"/>
      <c r="AP6" s="916"/>
      <c r="AQ6" s="916"/>
      <c r="AR6" s="916"/>
      <c r="AU6" s="26" t="s">
        <v>146</v>
      </c>
    </row>
    <row r="7" spans="1:54" s="114" customFormat="1">
      <c r="F7" s="26" t="str">
        <f>keep_TESTYEAR</f>
        <v>FOR THE TWELVE MONTHS ENDED SEPTEMBER 30, 2016</v>
      </c>
      <c r="L7" s="916" t="str">
        <f>keep_TESTYEAR</f>
        <v>FOR THE TWELVE MONTHS ENDED SEPTEMBER 30, 2016</v>
      </c>
      <c r="M7" s="916"/>
      <c r="N7" s="916"/>
      <c r="O7" s="916"/>
      <c r="P7" s="916"/>
      <c r="Q7" s="916"/>
      <c r="R7" s="916"/>
      <c r="S7" s="916"/>
      <c r="T7" s="916" t="str">
        <f>keep_TESTYEAR</f>
        <v>FOR THE TWELVE MONTHS ENDED SEPTEMBER 30, 2016</v>
      </c>
      <c r="U7" s="916"/>
      <c r="V7" s="916"/>
      <c r="W7" s="916"/>
      <c r="X7" s="916"/>
      <c r="Y7" s="916"/>
      <c r="Z7" s="916"/>
      <c r="AA7" s="916"/>
      <c r="AB7" s="26"/>
      <c r="AC7" s="26"/>
      <c r="AD7" s="916" t="str">
        <f>keep_TESTYEAR</f>
        <v>FOR THE TWELVE MONTHS ENDED SEPTEMBER 30, 2016</v>
      </c>
      <c r="AE7" s="916"/>
      <c r="AF7" s="916"/>
      <c r="AG7" s="916"/>
      <c r="AH7" s="916"/>
      <c r="AI7" s="916"/>
      <c r="AJ7" s="916"/>
      <c r="AK7" s="916"/>
      <c r="AL7" s="916" t="str">
        <f>keep_TESTYEAR</f>
        <v>FOR THE TWELVE MONTHS ENDED SEPTEMBER 30, 2016</v>
      </c>
      <c r="AM7" s="916"/>
      <c r="AN7" s="916"/>
      <c r="AO7" s="916"/>
      <c r="AP7" s="916"/>
      <c r="AQ7" s="916"/>
      <c r="AR7" s="916"/>
      <c r="AU7" s="26" t="str">
        <f>keep_TESTYEAR</f>
        <v>FOR THE TWELVE MONTHS ENDED SEPTEMBER 30, 2016</v>
      </c>
    </row>
    <row r="8" spans="1:54">
      <c r="A8" s="99"/>
      <c r="B8" s="2"/>
      <c r="C8" s="2"/>
      <c r="D8" s="1"/>
      <c r="E8" s="114"/>
      <c r="F8" s="26"/>
      <c r="G8" s="114"/>
      <c r="H8" s="114"/>
      <c r="I8" s="114"/>
      <c r="J8" s="114"/>
      <c r="K8" s="114"/>
      <c r="L8" s="916"/>
      <c r="M8" s="916"/>
      <c r="N8" s="916"/>
      <c r="O8" s="916"/>
      <c r="P8" s="916"/>
      <c r="Q8" s="916"/>
      <c r="R8" s="916"/>
      <c r="S8" s="916"/>
      <c r="T8" s="916"/>
      <c r="U8" s="916"/>
      <c r="V8" s="916"/>
      <c r="W8" s="916"/>
      <c r="X8" s="916"/>
      <c r="Y8" s="916"/>
      <c r="Z8" s="916"/>
      <c r="AA8" s="916"/>
      <c r="AB8" s="26"/>
      <c r="AC8" s="26"/>
      <c r="AD8" s="916"/>
      <c r="AE8" s="916"/>
      <c r="AF8" s="916"/>
      <c r="AG8" s="916"/>
      <c r="AH8" s="916"/>
      <c r="AI8" s="916"/>
      <c r="AJ8" s="916"/>
      <c r="AK8" s="916"/>
      <c r="AL8" s="916"/>
      <c r="AM8" s="916"/>
      <c r="AN8" s="916"/>
      <c r="AO8" s="916"/>
      <c r="AP8" s="916"/>
      <c r="AQ8" s="916"/>
      <c r="AR8" s="916"/>
      <c r="AS8" s="115" t="s">
        <v>145</v>
      </c>
      <c r="AT8" s="114"/>
      <c r="AU8" s="114"/>
      <c r="AV8" s="114"/>
      <c r="AW8" s="114"/>
      <c r="AX8" s="25"/>
    </row>
    <row r="9" spans="1:54" ht="13.5">
      <c r="A9" s="99"/>
      <c r="B9" s="2"/>
      <c r="C9" s="2"/>
      <c r="D9" s="112"/>
      <c r="E9" s="112"/>
      <c r="F9" s="112"/>
      <c r="G9" s="112"/>
      <c r="H9" s="112"/>
      <c r="I9" s="868" t="s">
        <v>144</v>
      </c>
      <c r="J9" s="868" t="s">
        <v>144</v>
      </c>
      <c r="K9" s="112"/>
      <c r="L9" s="113"/>
      <c r="M9" s="112"/>
      <c r="N9" s="112"/>
      <c r="O9" s="112"/>
      <c r="P9" s="112"/>
      <c r="Q9" s="113"/>
      <c r="R9" s="112"/>
      <c r="S9" s="112"/>
      <c r="T9" s="112"/>
      <c r="U9" s="112"/>
      <c r="V9" s="112"/>
      <c r="W9" s="112"/>
      <c r="X9" s="112"/>
      <c r="Y9" s="112"/>
      <c r="Z9" s="112"/>
      <c r="AA9" s="1"/>
      <c r="AB9" s="869" t="s">
        <v>144</v>
      </c>
      <c r="AC9" s="26"/>
      <c r="AD9" s="1"/>
      <c r="AE9" s="112"/>
      <c r="AF9" s="113"/>
      <c r="AG9" s="112"/>
      <c r="AH9" s="112"/>
      <c r="AI9" s="112"/>
      <c r="AJ9" s="112"/>
      <c r="AK9" s="112"/>
      <c r="AL9" s="112"/>
      <c r="AM9" s="112"/>
      <c r="AN9" s="112"/>
      <c r="AO9" s="112"/>
      <c r="AP9" s="112"/>
      <c r="AQ9" s="112"/>
      <c r="AR9" s="112"/>
      <c r="AS9" s="25"/>
      <c r="AT9" s="25"/>
      <c r="AU9" s="25"/>
      <c r="AV9" s="25"/>
      <c r="AW9" s="25"/>
      <c r="AX9" s="25"/>
    </row>
    <row r="10" spans="1:54" s="101" customFormat="1" ht="13.5">
      <c r="A10" s="111"/>
      <c r="B10" s="106" t="s">
        <v>143</v>
      </c>
      <c r="C10" s="108"/>
      <c r="D10" s="109"/>
      <c r="E10" s="109"/>
      <c r="F10" s="109" t="s">
        <v>142</v>
      </c>
      <c r="G10" s="109"/>
      <c r="H10" s="109"/>
      <c r="I10" s="109" t="s">
        <v>142</v>
      </c>
      <c r="J10" s="109" t="s">
        <v>142</v>
      </c>
      <c r="K10" s="109" t="s">
        <v>142</v>
      </c>
      <c r="L10" s="110"/>
      <c r="M10" s="109"/>
      <c r="N10" s="109"/>
      <c r="O10" s="109"/>
      <c r="P10" s="109"/>
      <c r="Q10" s="109" t="s">
        <v>142</v>
      </c>
      <c r="R10" s="109"/>
      <c r="S10" s="109"/>
      <c r="T10" s="109"/>
      <c r="U10" s="109"/>
      <c r="V10" s="109"/>
      <c r="W10" s="109"/>
      <c r="X10" s="109" t="s">
        <v>142</v>
      </c>
      <c r="Y10" s="109" t="s">
        <v>142</v>
      </c>
      <c r="Z10" s="109"/>
      <c r="AA10" s="109"/>
      <c r="AB10" s="109" t="s">
        <v>142</v>
      </c>
      <c r="AC10" s="109" t="s">
        <v>142</v>
      </c>
      <c r="AD10" s="109" t="s">
        <v>142</v>
      </c>
      <c r="AE10" s="109"/>
      <c r="AF10" s="110"/>
      <c r="AG10" s="109"/>
      <c r="AH10" s="109" t="s">
        <v>142</v>
      </c>
      <c r="AI10" s="109"/>
      <c r="AJ10" s="109"/>
      <c r="AK10" s="109" t="s">
        <v>142</v>
      </c>
      <c r="AL10" s="109"/>
      <c r="AM10" s="109"/>
      <c r="AN10" s="109" t="s">
        <v>142</v>
      </c>
      <c r="AO10" s="109" t="s">
        <v>142</v>
      </c>
      <c r="AP10" s="109" t="s">
        <v>142</v>
      </c>
      <c r="AQ10" s="109"/>
      <c r="AR10" s="109"/>
      <c r="AS10" s="109"/>
      <c r="AT10" s="109"/>
      <c r="AU10" s="109"/>
      <c r="AV10" s="109"/>
      <c r="AW10" s="109"/>
      <c r="AX10" s="109"/>
      <c r="AY10" s="108"/>
    </row>
    <row r="11" spans="1:54" s="100" customFormat="1" ht="13.5">
      <c r="A11" s="107"/>
      <c r="B11" s="106"/>
      <c r="C11" s="105"/>
      <c r="D11" s="105"/>
      <c r="E11" s="104"/>
      <c r="F11" s="104"/>
      <c r="G11" s="104"/>
      <c r="H11" s="104"/>
      <c r="K11" s="104" t="s">
        <v>141</v>
      </c>
      <c r="L11" s="104"/>
      <c r="M11" s="104"/>
      <c r="N11" s="104"/>
      <c r="O11" s="104"/>
      <c r="P11" s="104"/>
      <c r="Q11" s="104"/>
      <c r="R11" s="104"/>
      <c r="S11" s="104"/>
      <c r="T11" s="104"/>
      <c r="U11" s="104"/>
      <c r="V11" s="104"/>
      <c r="W11" s="104"/>
      <c r="X11" s="104"/>
      <c r="Y11" s="104"/>
      <c r="Z11" s="104"/>
      <c r="AA11" s="104"/>
      <c r="AB11" s="104" t="s">
        <v>141</v>
      </c>
      <c r="AC11" s="104" t="s">
        <v>141</v>
      </c>
      <c r="AD11" s="104"/>
      <c r="AE11" s="104"/>
      <c r="AF11" s="104"/>
      <c r="AG11" s="104"/>
      <c r="AH11" s="104"/>
      <c r="AI11" s="104"/>
      <c r="AJ11" s="104"/>
      <c r="AK11" s="104"/>
      <c r="AL11" s="104"/>
      <c r="AM11" s="104"/>
      <c r="AN11" s="104"/>
      <c r="AO11" s="104"/>
      <c r="AP11" s="104"/>
      <c r="AQ11" s="104"/>
      <c r="AR11" s="104"/>
      <c r="AS11" s="104"/>
      <c r="AT11" s="104"/>
      <c r="AU11" s="104"/>
      <c r="AV11" s="104"/>
      <c r="AW11" s="104"/>
      <c r="AX11" s="103"/>
      <c r="AY11" s="102"/>
      <c r="AZ11" s="101" t="s">
        <v>141</v>
      </c>
      <c r="BA11" s="101" t="s">
        <v>141</v>
      </c>
    </row>
    <row r="12" spans="1:54" ht="18.75" customHeight="1">
      <c r="A12" s="99"/>
      <c r="B12" s="25"/>
      <c r="C12" s="25"/>
      <c r="D12" s="26" t="s">
        <v>140</v>
      </c>
      <c r="E12" s="26" t="s">
        <v>139</v>
      </c>
      <c r="F12" s="26" t="s">
        <v>138</v>
      </c>
      <c r="G12" s="26" t="s">
        <v>137</v>
      </c>
      <c r="H12" s="26" t="s">
        <v>136</v>
      </c>
      <c r="I12" s="26" t="s">
        <v>135</v>
      </c>
      <c r="J12" s="26" t="s">
        <v>28</v>
      </c>
      <c r="K12" s="26" t="s">
        <v>134</v>
      </c>
      <c r="L12" s="26" t="s">
        <v>133</v>
      </c>
      <c r="M12" s="26" t="s">
        <v>132</v>
      </c>
      <c r="N12" s="26" t="s">
        <v>131</v>
      </c>
      <c r="O12" s="26" t="s">
        <v>130</v>
      </c>
      <c r="P12" s="26" t="s">
        <v>129</v>
      </c>
      <c r="Q12" s="26" t="s">
        <v>128</v>
      </c>
      <c r="R12" s="26" t="s">
        <v>127</v>
      </c>
      <c r="S12" s="26" t="s">
        <v>126</v>
      </c>
      <c r="T12" s="26" t="s">
        <v>125</v>
      </c>
      <c r="U12" s="26" t="s">
        <v>124</v>
      </c>
      <c r="V12" s="26" t="s">
        <v>123</v>
      </c>
      <c r="W12" s="26" t="s">
        <v>122</v>
      </c>
      <c r="X12" s="26" t="s">
        <v>121</v>
      </c>
      <c r="Y12" s="26" t="s">
        <v>120</v>
      </c>
      <c r="Z12" s="26" t="s">
        <v>119</v>
      </c>
      <c r="AA12" s="26" t="s">
        <v>118</v>
      </c>
      <c r="AB12" s="26" t="s">
        <v>117</v>
      </c>
      <c r="AC12" s="26" t="s">
        <v>116</v>
      </c>
      <c r="AD12" s="26" t="s">
        <v>115</v>
      </c>
      <c r="AE12" s="26" t="s">
        <v>114</v>
      </c>
      <c r="AF12" s="26" t="s">
        <v>113</v>
      </c>
      <c r="AG12" s="26" t="s">
        <v>24</v>
      </c>
      <c r="AH12" s="26" t="s">
        <v>112</v>
      </c>
      <c r="AI12" s="26" t="s">
        <v>111</v>
      </c>
      <c r="AJ12" s="26" t="s">
        <v>110</v>
      </c>
      <c r="AK12" s="26" t="s">
        <v>109</v>
      </c>
      <c r="AL12" s="26" t="s">
        <v>108</v>
      </c>
      <c r="AM12" s="26" t="s">
        <v>107</v>
      </c>
      <c r="AN12" s="26" t="s">
        <v>106</v>
      </c>
      <c r="AO12" s="26" t="s">
        <v>105</v>
      </c>
      <c r="AP12" s="26" t="s">
        <v>104</v>
      </c>
      <c r="AQ12" s="26" t="s">
        <v>64</v>
      </c>
      <c r="AR12" s="26" t="s">
        <v>103</v>
      </c>
      <c r="AS12" s="26"/>
      <c r="AT12" s="26"/>
      <c r="AU12" s="26" t="s">
        <v>103</v>
      </c>
      <c r="AV12" s="26" t="s">
        <v>52</v>
      </c>
      <c r="AW12" s="26" t="s">
        <v>102</v>
      </c>
      <c r="AX12" s="25"/>
      <c r="AZ12" s="96" t="s">
        <v>101</v>
      </c>
      <c r="BA12" s="96" t="s">
        <v>100</v>
      </c>
    </row>
    <row r="13" spans="1:54" ht="25.5">
      <c r="A13" s="95" t="s">
        <v>99</v>
      </c>
      <c r="B13" s="25"/>
      <c r="C13" s="25"/>
      <c r="D13" s="26" t="s">
        <v>63</v>
      </c>
      <c r="E13" s="26" t="s">
        <v>98</v>
      </c>
      <c r="F13" s="26" t="s">
        <v>97</v>
      </c>
      <c r="G13" s="26" t="s">
        <v>96</v>
      </c>
      <c r="H13" s="97" t="s">
        <v>95</v>
      </c>
      <c r="I13" s="97" t="s">
        <v>94</v>
      </c>
      <c r="J13" s="26" t="s">
        <v>93</v>
      </c>
      <c r="K13" s="26" t="s">
        <v>92</v>
      </c>
      <c r="L13" s="26" t="s">
        <v>91</v>
      </c>
      <c r="M13" s="97" t="s">
        <v>90</v>
      </c>
      <c r="N13" s="97" t="s">
        <v>89</v>
      </c>
      <c r="O13" s="97" t="s">
        <v>82</v>
      </c>
      <c r="P13" s="97" t="s">
        <v>88</v>
      </c>
      <c r="Q13" s="26" t="s">
        <v>87</v>
      </c>
      <c r="R13" s="26" t="s">
        <v>86</v>
      </c>
      <c r="S13" s="98" t="s">
        <v>85</v>
      </c>
      <c r="T13" s="98" t="s">
        <v>83</v>
      </c>
      <c r="U13" s="97" t="s">
        <v>84</v>
      </c>
      <c r="V13" s="97" t="s">
        <v>83</v>
      </c>
      <c r="W13" s="26" t="s">
        <v>82</v>
      </c>
      <c r="X13" s="26" t="s">
        <v>81</v>
      </c>
      <c r="Y13" s="26" t="s">
        <v>80</v>
      </c>
      <c r="Z13" s="26" t="s">
        <v>79</v>
      </c>
      <c r="AA13" s="26" t="s">
        <v>78</v>
      </c>
      <c r="AB13" s="97" t="s">
        <v>66</v>
      </c>
      <c r="AC13" s="97" t="s">
        <v>66</v>
      </c>
      <c r="AD13" s="97" t="s">
        <v>77</v>
      </c>
      <c r="AE13" s="97" t="s">
        <v>76</v>
      </c>
      <c r="AF13" s="26" t="s">
        <v>75</v>
      </c>
      <c r="AG13" s="26" t="s">
        <v>74</v>
      </c>
      <c r="AH13" s="97" t="s">
        <v>73</v>
      </c>
      <c r="AI13" s="26" t="s">
        <v>72</v>
      </c>
      <c r="AJ13" s="26" t="s">
        <v>71</v>
      </c>
      <c r="AK13" s="26" t="s">
        <v>70</v>
      </c>
      <c r="AL13" s="26" t="s">
        <v>69</v>
      </c>
      <c r="AM13" s="26" t="s">
        <v>69</v>
      </c>
      <c r="AN13" s="97" t="s">
        <v>68</v>
      </c>
      <c r="AO13" s="26" t="s">
        <v>67</v>
      </c>
      <c r="AP13" s="97" t="s">
        <v>66</v>
      </c>
      <c r="AQ13" s="93" t="s">
        <v>54</v>
      </c>
      <c r="AR13" s="26" t="s">
        <v>63</v>
      </c>
      <c r="AS13" s="26" t="s">
        <v>65</v>
      </c>
      <c r="AT13" s="26" t="s">
        <v>64</v>
      </c>
      <c r="AU13" s="26" t="s">
        <v>63</v>
      </c>
      <c r="AV13" s="26" t="s">
        <v>62</v>
      </c>
      <c r="AW13" s="26" t="s">
        <v>61</v>
      </c>
      <c r="AX13" s="26"/>
      <c r="AZ13" s="96" t="s">
        <v>60</v>
      </c>
      <c r="BA13" s="96" t="s">
        <v>59</v>
      </c>
    </row>
    <row r="14" spans="1:54" s="3" customFormat="1">
      <c r="A14" s="95" t="s">
        <v>58</v>
      </c>
      <c r="B14" s="25"/>
      <c r="C14" s="25"/>
      <c r="D14" s="26" t="s">
        <v>57</v>
      </c>
      <c r="E14" s="94">
        <v>13.01</v>
      </c>
      <c r="F14" s="94">
        <v>13.02</v>
      </c>
      <c r="G14" s="94">
        <v>13.03</v>
      </c>
      <c r="H14" s="94">
        <v>13.04</v>
      </c>
      <c r="I14" s="94">
        <v>13.05</v>
      </c>
      <c r="J14" s="94">
        <v>13.06</v>
      </c>
      <c r="K14" s="94" t="s">
        <v>56</v>
      </c>
      <c r="L14" s="94">
        <v>13.07</v>
      </c>
      <c r="M14" s="94">
        <v>13.08</v>
      </c>
      <c r="N14" s="94">
        <v>13.09</v>
      </c>
      <c r="O14" s="94">
        <v>13.1</v>
      </c>
      <c r="P14" s="94">
        <v>13.11</v>
      </c>
      <c r="Q14" s="94">
        <v>13.12</v>
      </c>
      <c r="R14" s="94">
        <v>13.13</v>
      </c>
      <c r="S14" s="94">
        <v>13.14</v>
      </c>
      <c r="T14" s="94">
        <v>13.15</v>
      </c>
      <c r="U14" s="94">
        <v>13.16</v>
      </c>
      <c r="V14" s="94">
        <v>13.17</v>
      </c>
      <c r="W14" s="94">
        <v>13.18</v>
      </c>
      <c r="X14" s="94">
        <v>13.19</v>
      </c>
      <c r="Y14" s="94">
        <v>13.2</v>
      </c>
      <c r="Z14" s="94">
        <v>13.21</v>
      </c>
      <c r="AA14" s="94">
        <v>13.22</v>
      </c>
      <c r="AB14" s="94">
        <v>13.23</v>
      </c>
      <c r="AC14" s="94">
        <v>13.24</v>
      </c>
      <c r="AD14" s="94">
        <v>14.01</v>
      </c>
      <c r="AE14" s="94">
        <v>14.02</v>
      </c>
      <c r="AF14" s="94">
        <v>14.03</v>
      </c>
      <c r="AG14" s="94">
        <v>14.04</v>
      </c>
      <c r="AH14" s="94">
        <v>14.05</v>
      </c>
      <c r="AI14" s="94">
        <v>14.06</v>
      </c>
      <c r="AJ14" s="94">
        <v>14.07</v>
      </c>
      <c r="AK14" s="94">
        <v>14.08</v>
      </c>
      <c r="AL14" s="94">
        <v>14.09</v>
      </c>
      <c r="AM14" s="94">
        <v>14.1</v>
      </c>
      <c r="AN14" s="94">
        <v>14.11</v>
      </c>
      <c r="AO14" s="94">
        <v>14.12</v>
      </c>
      <c r="AP14" s="94">
        <v>14.13</v>
      </c>
      <c r="AQ14" s="93"/>
      <c r="AR14" s="93" t="s">
        <v>53</v>
      </c>
      <c r="AS14" s="93" t="s">
        <v>55</v>
      </c>
      <c r="AT14" s="93" t="s">
        <v>54</v>
      </c>
      <c r="AU14" s="93" t="s">
        <v>53</v>
      </c>
      <c r="AV14" s="92" t="str">
        <f>IF(AV21&lt;0,"SUFFICIENCY","DEFICIENCY")</f>
        <v>DEFICIENCY</v>
      </c>
      <c r="AW14" s="93" t="str">
        <f>IF(AV21&lt;0,"DECREASE","INCREASE")</f>
        <v>INCREASE</v>
      </c>
      <c r="AX14" s="26"/>
      <c r="AY14" s="78"/>
      <c r="AZ14" s="93" t="s">
        <v>52</v>
      </c>
      <c r="BA14" s="92" t="str">
        <f>IF(BA21&lt;0,"SUFFICIENCY","DEFICIENCY")</f>
        <v>SUFFICIENCY</v>
      </c>
    </row>
    <row r="15" spans="1:54">
      <c r="A15" s="91" t="s">
        <v>51</v>
      </c>
      <c r="B15" s="88"/>
      <c r="C15" s="88"/>
      <c r="D15" s="90"/>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row>
    <row r="16" spans="1:54">
      <c r="A16" s="9">
        <v>1</v>
      </c>
      <c r="B16" s="49" t="s">
        <v>50</v>
      </c>
      <c r="C16" s="49"/>
      <c r="D16" s="84"/>
      <c r="E16" s="81"/>
      <c r="F16" s="81"/>
      <c r="G16" s="81"/>
      <c r="H16" s="81"/>
      <c r="I16" s="81"/>
      <c r="J16" s="81"/>
      <c r="K16" s="81"/>
      <c r="M16" s="89"/>
      <c r="N16" s="81"/>
      <c r="O16" s="81"/>
      <c r="P16" s="81"/>
      <c r="R16" s="81"/>
      <c r="U16" s="81"/>
      <c r="AB16" s="81"/>
      <c r="AC16" s="81"/>
      <c r="AD16" s="81"/>
      <c r="AG16" s="49"/>
      <c r="AH16" s="81"/>
      <c r="AI16" s="81"/>
      <c r="AJ16" s="81"/>
      <c r="AK16" s="81"/>
      <c r="AL16" s="81"/>
      <c r="AM16" s="81"/>
      <c r="AN16" s="81"/>
      <c r="AO16" s="81"/>
      <c r="AP16" s="81"/>
      <c r="AR16" s="81"/>
      <c r="AW16" s="3"/>
      <c r="AY16" s="87" t="s">
        <v>49</v>
      </c>
      <c r="AZ16" s="88"/>
      <c r="BA16" s="88"/>
      <c r="BB16" s="87" t="s">
        <v>48</v>
      </c>
    </row>
    <row r="17" spans="1:67" ht="13.5">
      <c r="A17" s="9">
        <f t="shared" ref="A17:A62" si="0">A16+1</f>
        <v>2</v>
      </c>
      <c r="B17" s="49" t="s">
        <v>47</v>
      </c>
      <c r="C17" s="49"/>
      <c r="D17" s="44">
        <v>2146048308.1900001</v>
      </c>
      <c r="E17" s="44">
        <f>'MCC-2r page 7-30'!D23-'MCC-2r page 7-30'!D20</f>
        <v>-18636297.520117842</v>
      </c>
      <c r="F17" s="44">
        <f>'MCC-2r page 7-30'!L41-'MCC-2r page 7-30'!J39</f>
        <v>33201707.317327894</v>
      </c>
      <c r="G17" s="44">
        <f>-('MCC-2r page 7-30'!Q27-'MCC-2r page 7-30'!Q21-'MCC-2r page 7-30'!Q25-'MCC-2r page 7-30'!Q17)</f>
        <v>-192533060.51000002</v>
      </c>
      <c r="H17" s="44">
        <v>0</v>
      </c>
      <c r="I17" s="44">
        <v>0</v>
      </c>
      <c r="J17" s="44">
        <v>0</v>
      </c>
      <c r="K17" s="44"/>
      <c r="L17" s="44"/>
      <c r="M17" s="44">
        <v>0</v>
      </c>
      <c r="N17" s="44"/>
      <c r="O17" s="44">
        <v>0</v>
      </c>
      <c r="P17" s="44">
        <v>0</v>
      </c>
      <c r="Q17" s="44">
        <v>0</v>
      </c>
      <c r="R17" s="44">
        <v>0</v>
      </c>
      <c r="S17" s="44">
        <v>0</v>
      </c>
      <c r="T17" s="44">
        <v>0</v>
      </c>
      <c r="U17" s="44">
        <v>0</v>
      </c>
      <c r="V17" s="44">
        <v>0</v>
      </c>
      <c r="W17" s="44">
        <v>0</v>
      </c>
      <c r="X17" s="44">
        <v>0</v>
      </c>
      <c r="Y17" s="44">
        <v>0</v>
      </c>
      <c r="Z17" s="44">
        <v>0</v>
      </c>
      <c r="AA17" s="44">
        <v>0</v>
      </c>
      <c r="AB17" s="44"/>
      <c r="AC17" s="44"/>
      <c r="AD17" s="44"/>
      <c r="AE17" s="44">
        <v>0</v>
      </c>
      <c r="AF17" s="44"/>
      <c r="AG17" s="44">
        <v>0</v>
      </c>
      <c r="AH17" s="44">
        <v>0</v>
      </c>
      <c r="AI17" s="44">
        <v>0</v>
      </c>
      <c r="AJ17" s="44"/>
      <c r="AK17" s="44"/>
      <c r="AL17" s="44"/>
      <c r="AM17" s="44"/>
      <c r="AN17" s="44"/>
      <c r="AO17" s="44"/>
      <c r="AP17" s="44"/>
      <c r="AQ17" s="44">
        <f>SUM(E17:AP17)</f>
        <v>-177967650.71278995</v>
      </c>
      <c r="AR17" s="44">
        <f>AQ17+D17</f>
        <v>1968080657.47721</v>
      </c>
      <c r="AS17" s="44">
        <f>D17</f>
        <v>2146048308.1900001</v>
      </c>
      <c r="AT17" s="44">
        <f>+AQ17</f>
        <v>-177967650.71278995</v>
      </c>
      <c r="AU17" s="44">
        <f>SUM(AS17:AT17)</f>
        <v>1968080657.47721</v>
      </c>
      <c r="AV17" s="843">
        <f>'EXHIBIT MCC-3r'!D25</f>
        <v>51195740.190754801</v>
      </c>
      <c r="AW17" s="843">
        <f>SUM(AU17:AV17)</f>
        <v>2019276397.6679649</v>
      </c>
      <c r="AY17" s="844">
        <f>AV17/AU17</f>
        <v>2.6013029494624581E-2</v>
      </c>
      <c r="AZ17" s="86">
        <v>86230222</v>
      </c>
      <c r="BA17" s="845">
        <f>AV17-AZ17</f>
        <v>-35034481.809245199</v>
      </c>
      <c r="BB17" s="846">
        <f>BA17/AU17</f>
        <v>-1.7801344511029469E-2</v>
      </c>
      <c r="BC17" s="21"/>
      <c r="BD17" s="21"/>
      <c r="BE17" s="21"/>
      <c r="BF17" s="21"/>
      <c r="BG17" s="21"/>
      <c r="BH17" s="21"/>
      <c r="BI17" s="21"/>
      <c r="BJ17" s="21"/>
      <c r="BK17" s="21"/>
      <c r="BL17" s="21"/>
      <c r="BM17" s="21"/>
      <c r="BN17" s="21"/>
      <c r="BO17" s="21"/>
    </row>
    <row r="18" spans="1:67" ht="13.5">
      <c r="A18" s="9">
        <f t="shared" si="0"/>
        <v>3</v>
      </c>
      <c r="B18" s="49" t="s">
        <v>46</v>
      </c>
      <c r="C18" s="49"/>
      <c r="D18" s="36">
        <v>324382.2</v>
      </c>
      <c r="E18" s="36">
        <f>'MCC-2r page 7-30'!D20</f>
        <v>146.57999999999811</v>
      </c>
      <c r="F18" s="36">
        <f>'MCC-2r page 7-30'!J39</f>
        <v>6197.3419463974533</v>
      </c>
      <c r="G18" s="36">
        <f>-'MCC-2r page 7-30'!Q17</f>
        <v>-13257.679999999998</v>
      </c>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f>SUM(E18:AP18)</f>
        <v>-6913.7580536025471</v>
      </c>
      <c r="AR18" s="36">
        <f>AQ18+D18</f>
        <v>317468.44194639748</v>
      </c>
      <c r="AS18" s="42">
        <f>D18</f>
        <v>324382.2</v>
      </c>
      <c r="AT18" s="36">
        <f>+AQ18</f>
        <v>-6913.7580536025471</v>
      </c>
      <c r="AU18" s="36">
        <f>SUM(AS18:AT18)</f>
        <v>317468.44194639748</v>
      </c>
      <c r="AV18" s="36">
        <f>'EXHIBIT MCC-3r'!D24+'EXHIBIT MCC-3r'!D23</f>
        <v>405142.80924519914</v>
      </c>
      <c r="AW18" s="42">
        <f>SUM(AU18:AV18)</f>
        <v>722611.25119159662</v>
      </c>
      <c r="AZ18" s="80">
        <v>-22000</v>
      </c>
      <c r="BA18" s="67">
        <f>AV18-AZ18</f>
        <v>427142.80924519914</v>
      </c>
      <c r="BC18" s="21"/>
      <c r="BD18" s="21"/>
      <c r="BE18" s="21"/>
      <c r="BF18" s="21"/>
      <c r="BG18" s="21"/>
      <c r="BH18" s="21"/>
      <c r="BI18" s="21"/>
      <c r="BJ18" s="21"/>
      <c r="BK18" s="21"/>
      <c r="BL18" s="21"/>
      <c r="BM18" s="21"/>
      <c r="BN18" s="21"/>
      <c r="BO18" s="21"/>
    </row>
    <row r="19" spans="1:67" ht="13.5">
      <c r="A19" s="9">
        <f t="shared" si="0"/>
        <v>4</v>
      </c>
      <c r="B19" s="49" t="s">
        <v>45</v>
      </c>
      <c r="C19" s="49"/>
      <c r="D19" s="36">
        <v>201125741.739999</v>
      </c>
      <c r="E19" s="36"/>
      <c r="G19" s="36"/>
      <c r="H19" s="36"/>
      <c r="I19" s="36"/>
      <c r="J19" s="36"/>
      <c r="K19" s="36"/>
      <c r="L19" s="36"/>
      <c r="M19" s="36"/>
      <c r="N19" s="36"/>
      <c r="O19" s="36"/>
      <c r="P19" s="36"/>
      <c r="Q19" s="36"/>
      <c r="R19" s="36"/>
      <c r="S19" s="36"/>
      <c r="T19" s="36"/>
      <c r="U19" s="36"/>
      <c r="V19" s="36"/>
      <c r="W19" s="36"/>
      <c r="X19" s="36"/>
      <c r="Y19" s="36"/>
      <c r="Z19" s="36"/>
      <c r="AA19" s="36"/>
      <c r="AB19" s="36"/>
      <c r="AC19" s="36"/>
      <c r="AD19" s="36">
        <f>-'MCC-2r page 31-45'!E19</f>
        <v>-179079518.3565152</v>
      </c>
      <c r="AE19" s="36"/>
      <c r="AF19" s="36"/>
      <c r="AG19" s="36"/>
      <c r="AH19" s="36"/>
      <c r="AI19" s="36"/>
      <c r="AJ19" s="36"/>
      <c r="AK19" s="36"/>
      <c r="AL19" s="36"/>
      <c r="AM19" s="36"/>
      <c r="AN19" s="36"/>
      <c r="AO19" s="36"/>
      <c r="AP19" s="36"/>
      <c r="AQ19" s="36">
        <f>SUM(E19:AP19)</f>
        <v>-179079518.3565152</v>
      </c>
      <c r="AR19" s="36">
        <f>AQ19+D19</f>
        <v>22046223.383483797</v>
      </c>
      <c r="AS19" s="42">
        <f>D19</f>
        <v>201125741.739999</v>
      </c>
      <c r="AT19" s="36">
        <f>+AQ19</f>
        <v>-179079518.3565152</v>
      </c>
      <c r="AU19" s="36">
        <f>SUM(AS19:AT19)</f>
        <v>22046223.383483797</v>
      </c>
      <c r="AV19" s="42"/>
      <c r="AW19" s="42">
        <f>SUM(AU19:AV19)</f>
        <v>22046223.383483797</v>
      </c>
      <c r="AX19" s="36"/>
      <c r="AZ19" s="80"/>
      <c r="BA19" s="67">
        <f>AV19-AZ19</f>
        <v>0</v>
      </c>
      <c r="BC19" s="21"/>
      <c r="BD19" s="21"/>
      <c r="BE19" s="21"/>
      <c r="BF19" s="21"/>
      <c r="BG19" s="21"/>
      <c r="BH19" s="21"/>
      <c r="BI19" s="21"/>
      <c r="BJ19" s="21"/>
      <c r="BK19" s="21"/>
      <c r="BL19" s="21"/>
      <c r="BM19" s="21"/>
      <c r="BN19" s="21"/>
      <c r="BO19" s="21"/>
    </row>
    <row r="20" spans="1:67" ht="14.25" thickBot="1">
      <c r="A20" s="9">
        <f t="shared" si="0"/>
        <v>5</v>
      </c>
      <c r="B20" s="49" t="s">
        <v>44</v>
      </c>
      <c r="C20" s="49"/>
      <c r="D20" s="36">
        <v>47841338.950000003</v>
      </c>
      <c r="E20" s="35">
        <f>'MCC-2r page 7-30'!D32</f>
        <v>-10225162.969999999</v>
      </c>
      <c r="F20" s="44"/>
      <c r="G20" s="35">
        <f>-SUM('MCC-2r page 7-30'!Q21,'MCC-2r page 7-30'!Q25)</f>
        <v>-278052.84999999986</v>
      </c>
      <c r="H20" s="35"/>
      <c r="I20" s="35" t="s">
        <v>15</v>
      </c>
      <c r="J20" s="35"/>
      <c r="K20" s="35"/>
      <c r="L20" s="35"/>
      <c r="M20" s="35"/>
      <c r="N20" s="35"/>
      <c r="O20" s="35"/>
      <c r="P20" s="35"/>
      <c r="Q20" s="35"/>
      <c r="R20" s="35"/>
      <c r="S20" s="35"/>
      <c r="T20" s="35"/>
      <c r="U20" s="35"/>
      <c r="V20" s="35"/>
      <c r="W20" s="35"/>
      <c r="X20" s="35"/>
      <c r="Y20" s="35"/>
      <c r="Z20" s="35"/>
      <c r="AA20" s="35"/>
      <c r="AB20" s="35"/>
      <c r="AC20" s="35"/>
      <c r="AD20" s="35">
        <f>-'MCC-2r page 31-45'!E20-'MCC-2r page 31-45'!E24</f>
        <v>36636880.384476595</v>
      </c>
      <c r="AE20" s="35"/>
      <c r="AF20" s="35"/>
      <c r="AG20" s="35"/>
      <c r="AH20" s="35"/>
      <c r="AI20" s="35"/>
      <c r="AJ20" s="35"/>
      <c r="AK20" s="35"/>
      <c r="AL20" s="35"/>
      <c r="AM20" s="35"/>
      <c r="AN20" s="35"/>
      <c r="AO20" s="35"/>
      <c r="AP20" s="35"/>
      <c r="AQ20" s="36">
        <f>SUM(E20:AP20)</f>
        <v>26133664.564476594</v>
      </c>
      <c r="AR20" s="35">
        <f>AQ20+D20</f>
        <v>73975003.514476597</v>
      </c>
      <c r="AS20" s="41">
        <f>D20</f>
        <v>47841338.950000003</v>
      </c>
      <c r="AT20" s="35">
        <f>+AQ20</f>
        <v>26133664.564476594</v>
      </c>
      <c r="AU20" s="35">
        <f>SUM(AS20:AT20)</f>
        <v>73975003.514476597</v>
      </c>
      <c r="AV20" s="41"/>
      <c r="AW20" s="41">
        <f>SUM(AU20:AV20)</f>
        <v>73975003.514476597</v>
      </c>
      <c r="AX20" s="36"/>
      <c r="AZ20" s="85"/>
      <c r="BA20" s="67">
        <f>AV20-AZ20</f>
        <v>0</v>
      </c>
      <c r="BC20" s="21"/>
      <c r="BD20" s="21"/>
      <c r="BE20" s="21"/>
      <c r="BF20" s="21"/>
      <c r="BG20" s="21"/>
      <c r="BH20" s="21"/>
      <c r="BI20" s="21"/>
      <c r="BJ20" s="21"/>
      <c r="BK20" s="21"/>
      <c r="BL20" s="21"/>
      <c r="BM20" s="21"/>
      <c r="BN20" s="21"/>
      <c r="BO20" s="21"/>
    </row>
    <row r="21" spans="1:67" ht="14.25" thickBot="1">
      <c r="A21" s="9">
        <f t="shared" si="0"/>
        <v>6</v>
      </c>
      <c r="B21" s="49" t="s">
        <v>43</v>
      </c>
      <c r="C21" s="49"/>
      <c r="D21" s="66">
        <f t="shared" ref="D21:K21" si="1">SUM(D17:D20)</f>
        <v>2395339771.079999</v>
      </c>
      <c r="E21" s="66">
        <f t="shared" si="1"/>
        <v>-28861313.910117842</v>
      </c>
      <c r="F21" s="66">
        <f t="shared" si="1"/>
        <v>33207904.659274291</v>
      </c>
      <c r="G21" s="66">
        <f t="shared" si="1"/>
        <v>-192824371.04000002</v>
      </c>
      <c r="H21" s="66">
        <f t="shared" si="1"/>
        <v>0</v>
      </c>
      <c r="I21" s="66">
        <f t="shared" si="1"/>
        <v>0</v>
      </c>
      <c r="J21" s="66">
        <f t="shared" si="1"/>
        <v>0</v>
      </c>
      <c r="K21" s="66">
        <f t="shared" si="1"/>
        <v>0</v>
      </c>
      <c r="L21" s="66"/>
      <c r="M21" s="66">
        <f t="shared" ref="M21:AB21" si="2">SUM(M17:M20)</f>
        <v>0</v>
      </c>
      <c r="N21" s="66">
        <f t="shared" si="2"/>
        <v>0</v>
      </c>
      <c r="O21" s="66">
        <f t="shared" si="2"/>
        <v>0</v>
      </c>
      <c r="P21" s="66">
        <f t="shared" si="2"/>
        <v>0</v>
      </c>
      <c r="Q21" s="66">
        <f t="shared" si="2"/>
        <v>0</v>
      </c>
      <c r="R21" s="66">
        <f t="shared" si="2"/>
        <v>0</v>
      </c>
      <c r="S21" s="66">
        <f t="shared" si="2"/>
        <v>0</v>
      </c>
      <c r="T21" s="66">
        <f t="shared" si="2"/>
        <v>0</v>
      </c>
      <c r="U21" s="66">
        <f t="shared" si="2"/>
        <v>0</v>
      </c>
      <c r="V21" s="66">
        <f t="shared" si="2"/>
        <v>0</v>
      </c>
      <c r="W21" s="66">
        <f t="shared" si="2"/>
        <v>0</v>
      </c>
      <c r="X21" s="66">
        <f t="shared" si="2"/>
        <v>0</v>
      </c>
      <c r="Y21" s="66">
        <f t="shared" si="2"/>
        <v>0</v>
      </c>
      <c r="Z21" s="66">
        <f t="shared" si="2"/>
        <v>0</v>
      </c>
      <c r="AA21" s="66">
        <f t="shared" si="2"/>
        <v>0</v>
      </c>
      <c r="AB21" s="66">
        <f t="shared" si="2"/>
        <v>0</v>
      </c>
      <c r="AC21" s="66"/>
      <c r="AD21" s="66">
        <f>SUM(AD17:AD20)</f>
        <v>-142442637.9720386</v>
      </c>
      <c r="AE21" s="66">
        <f>SUM(AE17:AE20)</f>
        <v>0</v>
      </c>
      <c r="AF21" s="66"/>
      <c r="AG21" s="66">
        <f t="shared" ref="AG21:AQ21" si="3">SUM(AG17:AG20)</f>
        <v>0</v>
      </c>
      <c r="AH21" s="66">
        <f t="shared" si="3"/>
        <v>0</v>
      </c>
      <c r="AI21" s="66">
        <f t="shared" si="3"/>
        <v>0</v>
      </c>
      <c r="AJ21" s="66">
        <f t="shared" si="3"/>
        <v>0</v>
      </c>
      <c r="AK21" s="66">
        <f t="shared" si="3"/>
        <v>0</v>
      </c>
      <c r="AL21" s="66">
        <f t="shared" si="3"/>
        <v>0</v>
      </c>
      <c r="AM21" s="66">
        <f t="shared" si="3"/>
        <v>0</v>
      </c>
      <c r="AN21" s="66">
        <f t="shared" si="3"/>
        <v>0</v>
      </c>
      <c r="AO21" s="66">
        <f t="shared" si="3"/>
        <v>0</v>
      </c>
      <c r="AP21" s="66">
        <f t="shared" si="3"/>
        <v>0</v>
      </c>
      <c r="AQ21" s="66">
        <f t="shared" si="3"/>
        <v>-330920418.26288211</v>
      </c>
      <c r="AR21" s="66">
        <f>AQ21+D21</f>
        <v>2064419352.8171167</v>
      </c>
      <c r="AS21" s="65">
        <f>SUM(AS17:AS20)</f>
        <v>2395339771.079999</v>
      </c>
      <c r="AT21" s="66">
        <f>SUM(AT17:AT20)</f>
        <v>-330920418.26288211</v>
      </c>
      <c r="AU21" s="66">
        <f>SUM(AU17:AU20)</f>
        <v>2064419352.817117</v>
      </c>
      <c r="AV21" s="851">
        <f>SUM(AV17:AV20)</f>
        <v>51600883</v>
      </c>
      <c r="AW21" s="850">
        <f>SUM(AW17:AW20)</f>
        <v>2116020235.817117</v>
      </c>
      <c r="AX21" s="35"/>
      <c r="AY21" s="849">
        <f>AV21/AU21</f>
        <v>2.4995349384603075E-2</v>
      </c>
      <c r="AZ21" s="62">
        <f>SUM(AZ17:AZ20)</f>
        <v>86208222</v>
      </c>
      <c r="BA21" s="848">
        <f>SUM(BA17:BA20)</f>
        <v>-34607339</v>
      </c>
      <c r="BB21" s="847">
        <f>BA21/AU21</f>
        <v>-1.6763715643710979E-2</v>
      </c>
      <c r="BC21" s="21"/>
      <c r="BD21" s="21"/>
      <c r="BE21" s="21"/>
      <c r="BF21" s="21"/>
      <c r="BG21" s="21"/>
      <c r="BH21" s="21"/>
      <c r="BI21" s="21"/>
      <c r="BJ21" s="21"/>
      <c r="BK21" s="21"/>
      <c r="BL21" s="21"/>
      <c r="BM21" s="21"/>
      <c r="BN21" s="21"/>
      <c r="BO21" s="21"/>
    </row>
    <row r="22" spans="1:67">
      <c r="A22" s="9">
        <f t="shared" si="0"/>
        <v>7</v>
      </c>
      <c r="D22" s="36"/>
      <c r="E22" s="84" t="s">
        <v>15</v>
      </c>
      <c r="F22" s="84" t="s">
        <v>15</v>
      </c>
      <c r="G22" s="84"/>
      <c r="H22" s="84" t="s">
        <v>15</v>
      </c>
      <c r="I22" s="84" t="s">
        <v>15</v>
      </c>
      <c r="J22" s="84"/>
      <c r="K22" s="84"/>
      <c r="L22" s="84"/>
      <c r="M22" s="84" t="s">
        <v>15</v>
      </c>
      <c r="N22" s="84"/>
      <c r="O22" s="84" t="s">
        <v>15</v>
      </c>
      <c r="P22" s="84" t="s">
        <v>15</v>
      </c>
      <c r="Q22" s="84"/>
      <c r="R22" s="84" t="s">
        <v>15</v>
      </c>
      <c r="S22" s="84"/>
      <c r="T22" s="84"/>
      <c r="U22" s="84" t="s">
        <v>15</v>
      </c>
      <c r="V22" s="84" t="s">
        <v>15</v>
      </c>
      <c r="W22" s="84" t="s">
        <v>15</v>
      </c>
      <c r="X22" s="84"/>
      <c r="Y22" s="84"/>
      <c r="Z22" s="84"/>
      <c r="AA22" s="84"/>
      <c r="AB22" s="84"/>
      <c r="AC22" s="84"/>
      <c r="AD22" s="84"/>
      <c r="AE22" s="84" t="s">
        <v>15</v>
      </c>
      <c r="AF22" s="84"/>
      <c r="AG22" s="84"/>
      <c r="AH22" s="84"/>
      <c r="AI22" s="84"/>
      <c r="AJ22" s="84"/>
      <c r="AK22" s="84"/>
      <c r="AL22" s="84"/>
      <c r="AM22" s="84"/>
      <c r="AN22" s="84"/>
      <c r="AO22" s="84"/>
      <c r="AP22" s="84" t="s">
        <v>15</v>
      </c>
      <c r="AQ22" s="84"/>
      <c r="AR22" s="84"/>
      <c r="AS22" s="42"/>
      <c r="AT22" s="84"/>
      <c r="AU22" s="84"/>
      <c r="AV22" s="42"/>
      <c r="AW22" s="42"/>
      <c r="AX22" s="35"/>
      <c r="AZ22" s="77"/>
      <c r="BA22" s="77"/>
      <c r="BC22" s="21"/>
      <c r="BD22" s="21"/>
      <c r="BE22" s="21"/>
      <c r="BF22" s="21"/>
      <c r="BG22" s="21"/>
      <c r="BH22" s="21"/>
      <c r="BI22" s="21"/>
      <c r="BJ22" s="21"/>
      <c r="BK22" s="21"/>
      <c r="BL22" s="21"/>
      <c r="BM22" s="21"/>
      <c r="BN22" s="21"/>
      <c r="BO22" s="21"/>
    </row>
    <row r="23" spans="1:67">
      <c r="A23" s="9">
        <f t="shared" si="0"/>
        <v>8</v>
      </c>
      <c r="B23" s="49" t="s">
        <v>42</v>
      </c>
      <c r="C23" s="49"/>
      <c r="D23" s="36"/>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42"/>
      <c r="AT23" s="84"/>
      <c r="AU23" s="84"/>
      <c r="AV23" s="42"/>
      <c r="AW23" s="42"/>
      <c r="AX23" s="84"/>
      <c r="AZ23" s="77"/>
      <c r="BA23" s="77"/>
      <c r="BC23" s="21"/>
      <c r="BD23" s="21"/>
      <c r="BE23" s="21"/>
      <c r="BF23" s="21"/>
      <c r="BG23" s="21"/>
      <c r="BH23" s="21"/>
      <c r="BI23" s="21"/>
      <c r="BJ23" s="21"/>
      <c r="BK23" s="21"/>
      <c r="BL23" s="21"/>
      <c r="BM23" s="21"/>
      <c r="BN23" s="21"/>
      <c r="BO23" s="21"/>
    </row>
    <row r="24" spans="1:67">
      <c r="A24" s="9">
        <f t="shared" si="0"/>
        <v>9</v>
      </c>
      <c r="D24" s="71"/>
      <c r="AS24" s="42"/>
      <c r="AV24" s="42"/>
      <c r="AW24" s="42"/>
      <c r="AX24" s="84"/>
      <c r="AZ24" s="77"/>
      <c r="BA24" s="77"/>
      <c r="BC24" s="21"/>
      <c r="BD24" s="21"/>
      <c r="BE24" s="21"/>
      <c r="BF24" s="21"/>
      <c r="BG24" s="21"/>
      <c r="BH24" s="21"/>
      <c r="BI24" s="21"/>
      <c r="BJ24" s="21"/>
      <c r="BK24" s="21"/>
      <c r="BL24" s="21"/>
      <c r="BM24" s="21"/>
      <c r="BN24" s="21"/>
      <c r="BO24" s="21"/>
    </row>
    <row r="25" spans="1:67">
      <c r="A25" s="9">
        <f t="shared" si="0"/>
        <v>10</v>
      </c>
      <c r="B25" s="49" t="s">
        <v>41</v>
      </c>
      <c r="C25" s="49"/>
      <c r="D25" s="36"/>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42"/>
      <c r="AT25" s="84"/>
      <c r="AU25" s="84"/>
      <c r="AV25" s="42"/>
      <c r="AW25" s="42"/>
      <c r="AZ25" s="77"/>
      <c r="BA25" s="77"/>
      <c r="BC25" s="21"/>
      <c r="BD25" s="21"/>
      <c r="BE25" s="21"/>
      <c r="BF25" s="21"/>
      <c r="BG25" s="21"/>
      <c r="BH25" s="21"/>
      <c r="BI25" s="21"/>
      <c r="BJ25" s="21"/>
      <c r="BK25" s="21"/>
      <c r="BL25" s="21"/>
      <c r="BM25" s="21"/>
      <c r="BN25" s="21"/>
      <c r="BO25" s="21"/>
    </row>
    <row r="26" spans="1:67" ht="13.5">
      <c r="A26" s="9">
        <f t="shared" si="0"/>
        <v>11</v>
      </c>
      <c r="B26" s="49" t="s">
        <v>40</v>
      </c>
      <c r="C26" s="49"/>
      <c r="D26" s="36">
        <v>235002886.5</v>
      </c>
      <c r="E26" s="36">
        <v>0</v>
      </c>
      <c r="F26" s="36"/>
      <c r="G26" s="36"/>
      <c r="H26" s="36">
        <v>0</v>
      </c>
      <c r="I26" s="36">
        <v>0</v>
      </c>
      <c r="J26" s="36">
        <v>0</v>
      </c>
      <c r="K26" s="36"/>
      <c r="L26" s="36"/>
      <c r="M26" s="36">
        <v>0</v>
      </c>
      <c r="N26" s="36"/>
      <c r="O26" s="36">
        <v>0</v>
      </c>
      <c r="P26" s="36">
        <v>0</v>
      </c>
      <c r="Q26" s="36">
        <v>0</v>
      </c>
      <c r="R26" s="36">
        <v>0</v>
      </c>
      <c r="S26" s="36">
        <v>0</v>
      </c>
      <c r="T26" s="36">
        <v>0</v>
      </c>
      <c r="U26" s="36">
        <v>0</v>
      </c>
      <c r="V26" s="36">
        <v>0</v>
      </c>
      <c r="W26" s="36">
        <v>0</v>
      </c>
      <c r="X26" s="36"/>
      <c r="Y26" s="36"/>
      <c r="Z26" s="36"/>
      <c r="AA26" s="36"/>
      <c r="AB26" s="36"/>
      <c r="AC26" s="36"/>
      <c r="AD26" s="36">
        <f>+'MCC-2r page 31-45'!E14+'MCC-2r page 31-45'!E15</f>
        <v>-29985377.671741381</v>
      </c>
      <c r="AE26" s="36">
        <v>0</v>
      </c>
      <c r="AF26" s="36"/>
      <c r="AG26" s="36">
        <v>0</v>
      </c>
      <c r="AH26" s="36">
        <v>0</v>
      </c>
      <c r="AI26" s="36"/>
      <c r="AJ26" s="36"/>
      <c r="AK26" s="36"/>
      <c r="AL26" s="36"/>
      <c r="AM26" s="36"/>
      <c r="AN26" s="36"/>
      <c r="AO26" s="36"/>
      <c r="AP26" s="36"/>
      <c r="AQ26" s="36">
        <f>SUM(E26:AP26)</f>
        <v>-29985377.671741381</v>
      </c>
      <c r="AR26" s="36">
        <f>AQ26+D26</f>
        <v>205017508.82825863</v>
      </c>
      <c r="AS26" s="42">
        <f>D26</f>
        <v>235002886.5</v>
      </c>
      <c r="AT26" s="36">
        <f>+AQ26</f>
        <v>-29985377.671741381</v>
      </c>
      <c r="AU26" s="36">
        <f>SUM(AS26:AT26)</f>
        <v>205017508.82825863</v>
      </c>
      <c r="AV26" s="42">
        <v>0</v>
      </c>
      <c r="AW26" s="42">
        <f>SUM(AU26:AV26)</f>
        <v>205017508.82825863</v>
      </c>
      <c r="AX26" s="84"/>
      <c r="AZ26" s="80"/>
      <c r="BA26" s="67">
        <f>AV26-AZ26</f>
        <v>0</v>
      </c>
      <c r="BC26" s="21"/>
      <c r="BD26" s="21"/>
      <c r="BE26" s="21"/>
      <c r="BF26" s="21"/>
      <c r="BG26" s="21"/>
      <c r="BH26" s="21"/>
      <c r="BI26" s="21"/>
      <c r="BJ26" s="21"/>
      <c r="BK26" s="21"/>
      <c r="BL26" s="21"/>
      <c r="BM26" s="21"/>
      <c r="BN26" s="21"/>
      <c r="BO26" s="21"/>
    </row>
    <row r="27" spans="1:67" ht="13.5">
      <c r="A27" s="9">
        <f t="shared" si="0"/>
        <v>12</v>
      </c>
      <c r="B27" s="49" t="s">
        <v>39</v>
      </c>
      <c r="C27" s="49"/>
      <c r="D27" s="36">
        <v>532346459.37</v>
      </c>
      <c r="E27" s="36"/>
      <c r="F27" s="36"/>
      <c r="G27" s="36"/>
      <c r="H27" s="36"/>
      <c r="I27" s="36"/>
      <c r="J27" s="36"/>
      <c r="K27" s="36"/>
      <c r="L27" s="36"/>
      <c r="M27" s="36"/>
      <c r="N27" s="36">
        <f>'MCC-2r page 7-30'!BB14</f>
        <v>10379.814252257231</v>
      </c>
      <c r="O27" s="36"/>
      <c r="P27" s="36"/>
      <c r="Q27" s="36"/>
      <c r="R27" s="36"/>
      <c r="S27" s="36"/>
      <c r="T27" s="36"/>
      <c r="U27" s="36">
        <f>'MCC-2r page 7-30'!CH14</f>
        <v>130546.64316428918</v>
      </c>
      <c r="V27" s="36"/>
      <c r="W27" s="36"/>
      <c r="X27" s="36"/>
      <c r="Y27" s="36"/>
      <c r="Z27" s="36"/>
      <c r="AA27" s="36"/>
      <c r="AB27" s="36"/>
      <c r="AC27" s="36"/>
      <c r="AD27" s="36">
        <f>+'MCC-2r page 31-45'!E16+'MCC-2r page 31-45'!E17+'MCC-2r page 31-45'!E25</f>
        <v>-116273607.05604142</v>
      </c>
      <c r="AE27" s="36"/>
      <c r="AF27" s="36"/>
      <c r="AG27" s="36"/>
      <c r="AH27" s="36"/>
      <c r="AI27" s="36"/>
      <c r="AJ27" s="36"/>
      <c r="AK27" s="36"/>
      <c r="AL27" s="36"/>
      <c r="AM27" s="36"/>
      <c r="AN27" s="36"/>
      <c r="AO27" s="36"/>
      <c r="AP27" s="36">
        <f>+'MCC-2r page 31-45'!BL17</f>
        <v>0</v>
      </c>
      <c r="AQ27" s="36">
        <f>SUM(E27:AP27)</f>
        <v>-116132680.59862487</v>
      </c>
      <c r="AR27" s="36">
        <f>AQ27+D27</f>
        <v>416213778.77137512</v>
      </c>
      <c r="AS27" s="42">
        <f>D27</f>
        <v>532346459.37</v>
      </c>
      <c r="AT27" s="36">
        <f>+AQ27</f>
        <v>-116132680.59862487</v>
      </c>
      <c r="AU27" s="36">
        <f>SUM(AS27:AT27)</f>
        <v>416213778.77137512</v>
      </c>
      <c r="AV27" s="42"/>
      <c r="AW27" s="42">
        <f>SUM(AU27:AV27)</f>
        <v>416213778.77137512</v>
      </c>
      <c r="AX27" s="44"/>
      <c r="AZ27" s="80"/>
      <c r="BA27" s="67">
        <f>AV27-AZ27</f>
        <v>0</v>
      </c>
      <c r="BC27" s="21"/>
      <c r="BD27" s="21"/>
      <c r="BE27" s="21"/>
      <c r="BF27" s="21"/>
      <c r="BG27" s="21"/>
      <c r="BH27" s="21"/>
      <c r="BI27" s="21"/>
      <c r="BJ27" s="21"/>
      <c r="BK27" s="21"/>
      <c r="BL27" s="21"/>
      <c r="BM27" s="21"/>
      <c r="BN27" s="21"/>
      <c r="BO27" s="21"/>
    </row>
    <row r="28" spans="1:67" ht="13.5">
      <c r="A28" s="9">
        <f t="shared" si="0"/>
        <v>13</v>
      </c>
      <c r="B28" s="49" t="s">
        <v>38</v>
      </c>
      <c r="C28" s="49"/>
      <c r="D28" s="36">
        <v>113800193.219999</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f>+'MCC-2r page 31-45'!E18</f>
        <v>-5005509.8191537261</v>
      </c>
      <c r="AE28" s="36"/>
      <c r="AF28" s="36"/>
      <c r="AG28" s="36"/>
      <c r="AH28" s="36"/>
      <c r="AI28" s="36">
        <f>'MCC-2r page 31-45'!AD38</f>
        <v>0</v>
      </c>
      <c r="AJ28" s="36"/>
      <c r="AK28" s="36"/>
      <c r="AL28" s="36"/>
      <c r="AM28" s="36"/>
      <c r="AN28" s="36"/>
      <c r="AO28" s="36"/>
      <c r="AP28" s="36"/>
      <c r="AQ28" s="36">
        <f>SUM(E28:AP28)</f>
        <v>-5005509.8191537261</v>
      </c>
      <c r="AR28" s="36">
        <f>AQ28+D28</f>
        <v>108794683.40084527</v>
      </c>
      <c r="AS28" s="42">
        <f>D28</f>
        <v>113800193.219999</v>
      </c>
      <c r="AT28" s="36">
        <f>+AQ28</f>
        <v>-5005509.8191537261</v>
      </c>
      <c r="AU28" s="36">
        <f>SUM(AS28:AT28)</f>
        <v>108794683.40084527</v>
      </c>
      <c r="AV28" s="42"/>
      <c r="AW28" s="42">
        <f>SUM(AU28:AV28)</f>
        <v>108794683.40084527</v>
      </c>
      <c r="AX28" s="36"/>
      <c r="AZ28" s="80"/>
      <c r="BA28" s="67">
        <f>AV28-AZ28</f>
        <v>0</v>
      </c>
      <c r="BC28" s="21"/>
      <c r="BD28" s="21"/>
      <c r="BE28" s="21"/>
      <c r="BF28" s="21"/>
      <c r="BG28" s="21"/>
      <c r="BH28" s="21"/>
      <c r="BI28" s="21"/>
      <c r="BJ28" s="21"/>
      <c r="BK28" s="21"/>
      <c r="BL28" s="21"/>
      <c r="BM28" s="21"/>
      <c r="BN28" s="21"/>
      <c r="BO28" s="21"/>
    </row>
    <row r="29" spans="1:67" ht="13.5">
      <c r="A29" s="9">
        <f t="shared" si="0"/>
        <v>14</v>
      </c>
      <c r="B29" s="3" t="s">
        <v>37</v>
      </c>
      <c r="D29" s="69">
        <v>-69268219.669999897</v>
      </c>
      <c r="E29" s="69"/>
      <c r="F29" s="69"/>
      <c r="G29" s="69">
        <f>'MCC-2r page 7-30'!Q40</f>
        <v>69268219.670000002</v>
      </c>
      <c r="H29" s="69"/>
      <c r="I29" s="69"/>
      <c r="J29" s="69"/>
      <c r="K29" s="69"/>
      <c r="L29" s="69"/>
      <c r="M29" s="69"/>
      <c r="N29" s="69"/>
      <c r="O29" s="69"/>
      <c r="P29" s="69"/>
      <c r="Q29" s="69"/>
      <c r="R29" s="69"/>
      <c r="S29" s="69"/>
      <c r="T29" s="69"/>
      <c r="U29" s="69"/>
      <c r="V29" s="69"/>
      <c r="W29" s="69"/>
      <c r="X29" s="69"/>
      <c r="Y29" s="69"/>
      <c r="Z29" s="69"/>
      <c r="AA29" s="69"/>
      <c r="AB29" s="69"/>
      <c r="AC29" s="35"/>
      <c r="AD29" s="69"/>
      <c r="AE29" s="69"/>
      <c r="AF29" s="69"/>
      <c r="AG29" s="69"/>
      <c r="AH29" s="69"/>
      <c r="AI29" s="69"/>
      <c r="AJ29" s="69"/>
      <c r="AK29" s="69"/>
      <c r="AL29" s="69"/>
      <c r="AM29" s="69"/>
      <c r="AN29" s="69"/>
      <c r="AO29" s="69"/>
      <c r="AP29" s="69"/>
      <c r="AQ29" s="36">
        <f>SUM(E29:AP29)</f>
        <v>69268219.670000002</v>
      </c>
      <c r="AR29" s="69">
        <f>AQ29+D29</f>
        <v>0</v>
      </c>
      <c r="AS29" s="83">
        <f>D29</f>
        <v>-69268219.669999897</v>
      </c>
      <c r="AT29" s="69">
        <f>+AQ29</f>
        <v>69268219.670000002</v>
      </c>
      <c r="AU29" s="69">
        <f>SUM(AS29:AT29)</f>
        <v>0</v>
      </c>
      <c r="AV29" s="83"/>
      <c r="AW29" s="83">
        <f>SUM(AU29:AV29)</f>
        <v>0</v>
      </c>
      <c r="AX29" s="36"/>
      <c r="AZ29" s="82"/>
      <c r="BA29" s="67">
        <f>AV29-AZ29</f>
        <v>0</v>
      </c>
      <c r="BC29" s="21"/>
      <c r="BD29" s="21"/>
      <c r="BE29" s="21"/>
      <c r="BF29" s="21"/>
      <c r="BG29" s="21"/>
      <c r="BH29" s="21"/>
      <c r="BI29" s="21"/>
      <c r="BJ29" s="21"/>
      <c r="BK29" s="21"/>
      <c r="BL29" s="21"/>
      <c r="BM29" s="21"/>
      <c r="BN29" s="21"/>
      <c r="BO29" s="21"/>
    </row>
    <row r="30" spans="1:67" ht="13.5">
      <c r="A30" s="9">
        <f t="shared" si="0"/>
        <v>15</v>
      </c>
      <c r="B30" s="49" t="s">
        <v>36</v>
      </c>
      <c r="C30" s="49"/>
      <c r="D30" s="66">
        <f>SUM(D26:D29)</f>
        <v>811881319.41999912</v>
      </c>
      <c r="E30" s="66">
        <f>SUM(E26:E29)</f>
        <v>0</v>
      </c>
      <c r="F30" s="66">
        <f>SUM(F26:F29)</f>
        <v>0</v>
      </c>
      <c r="G30" s="66">
        <f>SUM(G25:G29)</f>
        <v>69268219.670000002</v>
      </c>
      <c r="H30" s="66">
        <f>SUM(H26:H29)</f>
        <v>0</v>
      </c>
      <c r="I30" s="66">
        <f>SUM(I26:I29)</f>
        <v>0</v>
      </c>
      <c r="J30" s="66">
        <f>SUM(J26:J29)</f>
        <v>0</v>
      </c>
      <c r="K30" s="66">
        <f>SUM(K26:K29)</f>
        <v>0</v>
      </c>
      <c r="L30" s="66">
        <f>SUM(L25:L29)</f>
        <v>0</v>
      </c>
      <c r="M30" s="66">
        <f>SUM(M26:M29)</f>
        <v>0</v>
      </c>
      <c r="N30" s="66">
        <f t="shared" ref="N30:AB30" si="4">SUM(N25:N29)</f>
        <v>10379.814252257231</v>
      </c>
      <c r="O30" s="66">
        <f t="shared" si="4"/>
        <v>0</v>
      </c>
      <c r="P30" s="66">
        <f t="shared" si="4"/>
        <v>0</v>
      </c>
      <c r="Q30" s="66">
        <f t="shared" si="4"/>
        <v>0</v>
      </c>
      <c r="R30" s="66">
        <f t="shared" si="4"/>
        <v>0</v>
      </c>
      <c r="S30" s="66">
        <f t="shared" si="4"/>
        <v>0</v>
      </c>
      <c r="T30" s="66">
        <f t="shared" si="4"/>
        <v>0</v>
      </c>
      <c r="U30" s="66">
        <f t="shared" si="4"/>
        <v>130546.64316428918</v>
      </c>
      <c r="V30" s="66">
        <f t="shared" si="4"/>
        <v>0</v>
      </c>
      <c r="W30" s="66">
        <f t="shared" si="4"/>
        <v>0</v>
      </c>
      <c r="X30" s="66">
        <f t="shared" si="4"/>
        <v>0</v>
      </c>
      <c r="Y30" s="66">
        <f t="shared" si="4"/>
        <v>0</v>
      </c>
      <c r="Z30" s="66">
        <f t="shared" si="4"/>
        <v>0</v>
      </c>
      <c r="AA30" s="66">
        <f t="shared" si="4"/>
        <v>0</v>
      </c>
      <c r="AB30" s="66">
        <f t="shared" si="4"/>
        <v>0</v>
      </c>
      <c r="AC30" s="66"/>
      <c r="AD30" s="66">
        <f>SUM(AD26:AD29)</f>
        <v>-151264494.54693651</v>
      </c>
      <c r="AE30" s="66">
        <f>SUM(AE25:AE29)</f>
        <v>0</v>
      </c>
      <c r="AF30" s="66">
        <f>SUM(AF25:AF29)</f>
        <v>0</v>
      </c>
      <c r="AG30" s="66">
        <f>SUM(AG25:AG29)</f>
        <v>0</v>
      </c>
      <c r="AH30" s="66">
        <f>SUM(AH26:AH29)</f>
        <v>0</v>
      </c>
      <c r="AI30" s="66">
        <f t="shared" ref="AI30:AP30" si="5">SUM(AI25:AI29)</f>
        <v>0</v>
      </c>
      <c r="AJ30" s="66">
        <f t="shared" si="5"/>
        <v>0</v>
      </c>
      <c r="AK30" s="66">
        <f t="shared" si="5"/>
        <v>0</v>
      </c>
      <c r="AL30" s="66">
        <f t="shared" si="5"/>
        <v>0</v>
      </c>
      <c r="AM30" s="66">
        <f t="shared" si="5"/>
        <v>0</v>
      </c>
      <c r="AN30" s="66">
        <f t="shared" si="5"/>
        <v>0</v>
      </c>
      <c r="AO30" s="66">
        <f t="shared" si="5"/>
        <v>0</v>
      </c>
      <c r="AP30" s="66">
        <f t="shared" si="5"/>
        <v>0</v>
      </c>
      <c r="AQ30" s="66">
        <f>SUM(AQ26:AQ29)</f>
        <v>-81855348.419519976</v>
      </c>
      <c r="AR30" s="66">
        <f>AQ30+D30</f>
        <v>730025971.0004791</v>
      </c>
      <c r="AS30" s="65">
        <f>SUM(AS26:AS29)</f>
        <v>811881319.41999912</v>
      </c>
      <c r="AT30" s="66">
        <f>SUM(AT26:AT29)</f>
        <v>-81855348.419519976</v>
      </c>
      <c r="AU30" s="66">
        <f>SUM(AU26:AU29)</f>
        <v>730025971.00047898</v>
      </c>
      <c r="AV30" s="65">
        <f>SUM(AV26:AV29)</f>
        <v>0</v>
      </c>
      <c r="AW30" s="66">
        <f>SUM(AW26:AW29)</f>
        <v>730025971.00047898</v>
      </c>
      <c r="AX30" s="35"/>
      <c r="AZ30" s="62"/>
      <c r="BA30" s="62">
        <f>SUM(BA26:BA29)</f>
        <v>0</v>
      </c>
      <c r="BC30" s="21"/>
      <c r="BD30" s="21"/>
      <c r="BE30" s="21"/>
      <c r="BF30" s="21"/>
      <c r="BG30" s="21"/>
      <c r="BH30" s="21"/>
      <c r="BI30" s="21"/>
      <c r="BJ30" s="21"/>
      <c r="BK30" s="21"/>
      <c r="BL30" s="21"/>
      <c r="BM30" s="21"/>
      <c r="BN30" s="21"/>
      <c r="BO30" s="21"/>
    </row>
    <row r="31" spans="1:67">
      <c r="A31" s="9">
        <f t="shared" si="0"/>
        <v>16</v>
      </c>
      <c r="B31" s="49"/>
      <c r="C31" s="49"/>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42"/>
      <c r="AT31" s="81"/>
      <c r="AU31" s="81"/>
      <c r="AV31" s="42"/>
      <c r="AW31" s="42"/>
      <c r="AX31" s="35"/>
      <c r="AZ31" s="77"/>
      <c r="BA31" s="77"/>
      <c r="BC31" s="21"/>
      <c r="BD31" s="21"/>
      <c r="BE31" s="21"/>
      <c r="BF31" s="21"/>
      <c r="BG31" s="21"/>
      <c r="BH31" s="21"/>
      <c r="BI31" s="21"/>
      <c r="BJ31" s="21"/>
      <c r="BK31" s="21"/>
      <c r="BL31" s="21"/>
      <c r="BM31" s="21"/>
      <c r="BN31" s="21"/>
      <c r="BO31" s="21"/>
    </row>
    <row r="32" spans="1:67" ht="13.5">
      <c r="A32" s="9">
        <f t="shared" si="0"/>
        <v>17</v>
      </c>
      <c r="B32" s="74" t="s">
        <v>35</v>
      </c>
      <c r="C32" s="74"/>
      <c r="D32" s="36">
        <v>125897437.02</v>
      </c>
      <c r="E32" s="36">
        <v>0</v>
      </c>
      <c r="F32" s="36"/>
      <c r="G32" s="36">
        <v>0</v>
      </c>
      <c r="H32" s="36">
        <v>0</v>
      </c>
      <c r="I32" s="36">
        <v>0</v>
      </c>
      <c r="J32" s="36">
        <v>0</v>
      </c>
      <c r="K32" s="36"/>
      <c r="L32" s="36">
        <v>0</v>
      </c>
      <c r="M32" s="36">
        <v>0</v>
      </c>
      <c r="N32" s="36">
        <f>'MCC-2r page 7-30'!BB15</f>
        <v>25958.659866420552</v>
      </c>
      <c r="O32" s="36">
        <v>0</v>
      </c>
      <c r="P32" s="36">
        <v>0</v>
      </c>
      <c r="Q32" s="36">
        <v>0</v>
      </c>
      <c r="R32" s="36">
        <v>0</v>
      </c>
      <c r="S32" s="36">
        <v>0</v>
      </c>
      <c r="T32" s="36">
        <v>0</v>
      </c>
      <c r="U32" s="36">
        <f>'MCC-2r page 7-30'!CH15</f>
        <v>311867.36638930067</v>
      </c>
      <c r="V32" s="36">
        <v>0</v>
      </c>
      <c r="W32" s="36">
        <v>0</v>
      </c>
      <c r="X32" s="36"/>
      <c r="Y32" s="36"/>
      <c r="Z32" s="36"/>
      <c r="AA32" s="36"/>
      <c r="AB32" s="36"/>
      <c r="AC32" s="36"/>
      <c r="AD32" s="36">
        <f>+'MCC-2r page 31-45'!E22</f>
        <v>13108287.041461319</v>
      </c>
      <c r="AE32" s="36">
        <v>0</v>
      </c>
      <c r="AF32" s="36">
        <v>0</v>
      </c>
      <c r="AG32" s="36">
        <v>0</v>
      </c>
      <c r="AH32" s="36">
        <v>0</v>
      </c>
      <c r="AI32" s="36"/>
      <c r="AJ32" s="36">
        <v>0</v>
      </c>
      <c r="AK32" s="36">
        <v>0</v>
      </c>
      <c r="AL32" s="36">
        <v>0</v>
      </c>
      <c r="AM32" s="36">
        <v>0</v>
      </c>
      <c r="AN32" s="36">
        <v>0</v>
      </c>
      <c r="AO32" s="36"/>
      <c r="AP32" s="36">
        <f>+'MCC-2r page 31-45'!BL18</f>
        <v>0</v>
      </c>
      <c r="AQ32" s="36">
        <f t="shared" ref="AQ32:AQ46" si="6">SUM(E32:AP32)</f>
        <v>13446113.06771704</v>
      </c>
      <c r="AR32" s="36">
        <f t="shared" ref="AR32:AR46" si="7">AQ32+D32</f>
        <v>139343550.08771703</v>
      </c>
      <c r="AS32" s="42">
        <f t="shared" ref="AS32:AS46" si="8">D32</f>
        <v>125897437.02</v>
      </c>
      <c r="AT32" s="36">
        <f t="shared" ref="AT32:AT46" si="9">+AQ32</f>
        <v>13446113.06771704</v>
      </c>
      <c r="AU32" s="36">
        <f t="shared" ref="AU32:AU46" si="10">SUM(AS32:AT32)</f>
        <v>139343550.08771703</v>
      </c>
      <c r="AV32" s="42">
        <v>0</v>
      </c>
      <c r="AW32" s="42">
        <f t="shared" ref="AW32:AW46" si="11">SUM(AU32:AV32)</f>
        <v>139343550.08771703</v>
      </c>
      <c r="AX32" s="81"/>
      <c r="AZ32" s="80"/>
      <c r="BA32" s="67">
        <f t="shared" ref="BA32:BA46" si="12">AV32-AZ32</f>
        <v>0</v>
      </c>
      <c r="BC32" s="21"/>
      <c r="BD32" s="21"/>
      <c r="BE32" s="21"/>
      <c r="BF32" s="21"/>
      <c r="BG32" s="21"/>
      <c r="BH32" s="21"/>
      <c r="BI32" s="21"/>
      <c r="BJ32" s="21"/>
      <c r="BK32" s="21"/>
      <c r="BL32" s="21"/>
      <c r="BM32" s="21"/>
      <c r="BN32" s="21"/>
      <c r="BO32" s="21"/>
    </row>
    <row r="33" spans="1:67" s="3" customFormat="1" ht="13.5">
      <c r="A33" s="9">
        <f t="shared" si="0"/>
        <v>18</v>
      </c>
      <c r="B33" s="49" t="s">
        <v>34</v>
      </c>
      <c r="C33" s="49"/>
      <c r="D33" s="36">
        <v>20270050.379999898</v>
      </c>
      <c r="E33" s="36"/>
      <c r="F33" s="36"/>
      <c r="G33" s="36"/>
      <c r="H33" s="36"/>
      <c r="I33" s="36"/>
      <c r="J33" s="36"/>
      <c r="K33" s="36"/>
      <c r="L33" s="36"/>
      <c r="M33" s="36">
        <v>0</v>
      </c>
      <c r="N33" s="36">
        <f>'MCC-2r page 7-30'!BB16</f>
        <v>17172.273207784747</v>
      </c>
      <c r="O33" s="36"/>
      <c r="P33" s="36"/>
      <c r="Q33" s="36"/>
      <c r="R33" s="36"/>
      <c r="S33" s="36"/>
      <c r="T33" s="36"/>
      <c r="U33" s="36">
        <f>+'MCC-2r page 7-30'!CH16</f>
        <v>213679.20856288634</v>
      </c>
      <c r="V33" s="36"/>
      <c r="W33" s="36"/>
      <c r="X33" s="36"/>
      <c r="Y33" s="36"/>
      <c r="Z33" s="36"/>
      <c r="AA33" s="36"/>
      <c r="AB33" s="36"/>
      <c r="AC33" s="36"/>
      <c r="AD33" s="36">
        <f>+'MCC-2r page 31-45'!E23</f>
        <v>0</v>
      </c>
      <c r="AE33" s="36"/>
      <c r="AF33" s="36"/>
      <c r="AG33" s="36"/>
      <c r="AH33" s="79">
        <f>'MCC-2r page 31-45'!W28</f>
        <v>153017.85844332149</v>
      </c>
      <c r="AI33" s="36"/>
      <c r="AJ33" s="79"/>
      <c r="AK33" s="79"/>
      <c r="AL33" s="79"/>
      <c r="AM33" s="79"/>
      <c r="AN33" s="79"/>
      <c r="AO33" s="79"/>
      <c r="AP33" s="36"/>
      <c r="AQ33" s="36">
        <f t="shared" si="6"/>
        <v>383869.34021399257</v>
      </c>
      <c r="AR33" s="36">
        <f t="shared" si="7"/>
        <v>20653919.72021389</v>
      </c>
      <c r="AS33" s="42">
        <f t="shared" si="8"/>
        <v>20270050.379999898</v>
      </c>
      <c r="AT33" s="35">
        <f t="shared" si="9"/>
        <v>383869.34021399257</v>
      </c>
      <c r="AU33" s="35">
        <f t="shared" si="10"/>
        <v>20653919.72021389</v>
      </c>
      <c r="AV33" s="42"/>
      <c r="AW33" s="35">
        <f t="shared" si="11"/>
        <v>20653919.72021389</v>
      </c>
      <c r="AX33" s="44"/>
      <c r="AY33" s="78"/>
      <c r="AZ33" s="73"/>
      <c r="BA33" s="67">
        <f t="shared" si="12"/>
        <v>0</v>
      </c>
      <c r="BC33" s="21"/>
      <c r="BD33" s="21"/>
      <c r="BE33" s="21"/>
      <c r="BF33" s="21"/>
      <c r="BG33" s="21"/>
      <c r="BH33" s="21"/>
      <c r="BI33" s="21"/>
      <c r="BJ33" s="21"/>
      <c r="BK33" s="21"/>
      <c r="BL33" s="21"/>
      <c r="BM33" s="21"/>
      <c r="BN33" s="21"/>
      <c r="BO33" s="21"/>
    </row>
    <row r="34" spans="1:67" s="3" customFormat="1" ht="13.5">
      <c r="A34" s="9">
        <f t="shared" si="0"/>
        <v>19</v>
      </c>
      <c r="B34" s="49" t="s">
        <v>33</v>
      </c>
      <c r="C34" s="49"/>
      <c r="D34" s="36">
        <v>83356029.179999903</v>
      </c>
      <c r="E34" s="36"/>
      <c r="F34" s="36"/>
      <c r="G34" s="36"/>
      <c r="H34" s="36"/>
      <c r="I34" s="36"/>
      <c r="J34" s="36"/>
      <c r="K34" s="36"/>
      <c r="L34" s="36"/>
      <c r="M34" s="36">
        <v>0</v>
      </c>
      <c r="N34" s="36">
        <f>'MCC-2r page 7-30'!BB17</f>
        <v>28486.544004048221</v>
      </c>
      <c r="O34" s="36"/>
      <c r="P34" s="36"/>
      <c r="Q34" s="36"/>
      <c r="R34" s="36"/>
      <c r="S34" s="36"/>
      <c r="T34" s="36"/>
      <c r="U34" s="36">
        <f>+'MCC-2r page 7-30'!CH17</f>
        <v>340008.31331337243</v>
      </c>
      <c r="V34" s="36"/>
      <c r="W34" s="36"/>
      <c r="X34" s="36"/>
      <c r="Y34" s="36"/>
      <c r="Z34" s="36"/>
      <c r="AA34" s="36"/>
      <c r="AB34" s="36"/>
      <c r="AC34" s="36"/>
      <c r="AD34" s="36"/>
      <c r="AE34" s="36"/>
      <c r="AF34" s="36"/>
      <c r="AG34" s="36"/>
      <c r="AH34" s="36">
        <f>'MCC-2r page 31-45'!X28</f>
        <v>7556474.8265566733</v>
      </c>
      <c r="AI34" s="36"/>
      <c r="AJ34" s="36"/>
      <c r="AK34" s="36"/>
      <c r="AL34" s="36"/>
      <c r="AM34" s="36"/>
      <c r="AN34" s="36"/>
      <c r="AO34" s="36"/>
      <c r="AP34" s="36"/>
      <c r="AQ34" s="36">
        <f t="shared" si="6"/>
        <v>7924969.6838740939</v>
      </c>
      <c r="AR34" s="36">
        <f t="shared" si="7"/>
        <v>91280998.863874003</v>
      </c>
      <c r="AS34" s="42">
        <f t="shared" si="8"/>
        <v>83356029.179999903</v>
      </c>
      <c r="AT34" s="35">
        <f t="shared" si="9"/>
        <v>7924969.6838740939</v>
      </c>
      <c r="AU34" s="35">
        <f t="shared" si="10"/>
        <v>91280998.863874003</v>
      </c>
      <c r="AV34" s="42"/>
      <c r="AW34" s="35">
        <f t="shared" si="11"/>
        <v>91280998.863874003</v>
      </c>
      <c r="AX34" s="36"/>
      <c r="AY34" s="78"/>
      <c r="AZ34" s="73"/>
      <c r="BA34" s="67">
        <f t="shared" si="12"/>
        <v>0</v>
      </c>
      <c r="BC34" s="21"/>
      <c r="BD34" s="21"/>
      <c r="BE34" s="21"/>
      <c r="BF34" s="21"/>
      <c r="BG34" s="21"/>
      <c r="BH34" s="21"/>
      <c r="BI34" s="21"/>
      <c r="BJ34" s="21"/>
      <c r="BK34" s="21"/>
      <c r="BL34" s="21"/>
      <c r="BM34" s="21"/>
      <c r="BN34" s="21"/>
      <c r="BO34" s="21"/>
    </row>
    <row r="35" spans="1:67" ht="13.5">
      <c r="A35" s="9">
        <f t="shared" si="0"/>
        <v>20</v>
      </c>
      <c r="B35" s="49" t="s">
        <v>32</v>
      </c>
      <c r="C35" s="49"/>
      <c r="D35" s="36">
        <v>47600166.421824999</v>
      </c>
      <c r="E35" s="36">
        <f>'MCC-2r page 7-30'!D40</f>
        <v>-206560.42365471341</v>
      </c>
      <c r="F35" s="44">
        <f>'MCC-2r page 7-30'!K43</f>
        <v>237669</v>
      </c>
      <c r="G35" s="36">
        <f>'MCC-2r page 7-30'!Q30</f>
        <v>-1378053.9992858302</v>
      </c>
      <c r="H35" s="36"/>
      <c r="I35" s="36"/>
      <c r="J35" s="36"/>
      <c r="K35" s="36"/>
      <c r="L35" s="36"/>
      <c r="M35" s="36">
        <f>'MCC-2r page 7-30'!AW26</f>
        <v>-1047792</v>
      </c>
      <c r="N35" s="36">
        <f>'MCC-2r page 7-30'!BB18</f>
        <v>10494.29780534911</v>
      </c>
      <c r="O35" s="36"/>
      <c r="P35" s="36">
        <f>'MCC-2r page 7-30'!BK13</f>
        <v>176605.63064400846</v>
      </c>
      <c r="Q35" s="36"/>
      <c r="R35" s="36"/>
      <c r="S35" s="36"/>
      <c r="T35" s="36"/>
      <c r="U35" s="36">
        <f>+'MCC-2r page 7-30'!CH18</f>
        <v>122230.25261568837</v>
      </c>
      <c r="V35" s="36"/>
      <c r="W35" s="36"/>
      <c r="X35" s="36"/>
      <c r="Y35" s="36">
        <f>'MCC-2r page 7-30'!DB15+'MCC-2r page 7-30'!DB21</f>
        <v>3092647.9339365205</v>
      </c>
      <c r="Z35" s="36"/>
      <c r="AA35" s="36"/>
      <c r="AB35" s="36"/>
      <c r="AC35" s="36"/>
      <c r="AD35" s="36"/>
      <c r="AE35" s="36"/>
      <c r="AF35" s="36"/>
      <c r="AG35" s="36"/>
      <c r="AH35" s="36"/>
      <c r="AI35" s="36"/>
      <c r="AJ35" s="36"/>
      <c r="AK35" s="36"/>
      <c r="AL35" s="36"/>
      <c r="AM35" s="36"/>
      <c r="AN35" s="36"/>
      <c r="AO35" s="36"/>
      <c r="AP35" s="36"/>
      <c r="AQ35" s="36">
        <f t="shared" si="6"/>
        <v>1007240.6920610229</v>
      </c>
      <c r="AR35" s="36">
        <f t="shared" si="7"/>
        <v>48607407.113886021</v>
      </c>
      <c r="AS35" s="42">
        <f t="shared" si="8"/>
        <v>47600166.421824999</v>
      </c>
      <c r="AT35" s="35">
        <f t="shared" si="9"/>
        <v>1007240.6920610229</v>
      </c>
      <c r="AU35" s="35">
        <f t="shared" si="10"/>
        <v>48607407.113886021</v>
      </c>
      <c r="AV35" s="854">
        <f>+'EXHIBIT MCC-3r'!D22*'EXHIBIT MCC-3r'!P13</f>
        <v>369307.519631</v>
      </c>
      <c r="AW35" s="853">
        <f t="shared" si="11"/>
        <v>48976714.633517019</v>
      </c>
      <c r="AX35" s="36"/>
      <c r="AZ35" s="70">
        <f>'EXHIBIT MCC-6'!AV36</f>
        <v>541994.04185400007</v>
      </c>
      <c r="BA35" s="852">
        <f t="shared" si="12"/>
        <v>-172686.52222300007</v>
      </c>
      <c r="BC35" s="21"/>
      <c r="BD35" s="21"/>
      <c r="BE35" s="21"/>
      <c r="BF35" s="21"/>
      <c r="BG35" s="21"/>
      <c r="BH35" s="21"/>
      <c r="BI35" s="21"/>
      <c r="BJ35" s="21"/>
      <c r="BK35" s="21"/>
      <c r="BL35" s="21"/>
      <c r="BM35" s="21"/>
      <c r="BN35" s="21"/>
      <c r="BO35" s="21"/>
    </row>
    <row r="36" spans="1:67" ht="13.5">
      <c r="A36" s="9">
        <f t="shared" si="0"/>
        <v>21</v>
      </c>
      <c r="B36" s="49" t="s">
        <v>31</v>
      </c>
      <c r="C36" s="49"/>
      <c r="D36" s="36">
        <v>19829127.240927998</v>
      </c>
      <c r="E36" s="36"/>
      <c r="F36" s="36"/>
      <c r="G36" s="36">
        <f>'MCC-2r page 7-30'!Q39+'MCC-2r page 7-30'!Q42</f>
        <v>-17275568.259999998</v>
      </c>
      <c r="H36" s="36"/>
      <c r="I36" s="36"/>
      <c r="J36" s="36"/>
      <c r="K36" s="36"/>
      <c r="L36" s="36"/>
      <c r="M36" s="36"/>
      <c r="N36" s="36">
        <f>'MCC-2r page 7-30'!BB19+'MCC-2r page 7-30'!BB20</f>
        <v>3372.6260396867092</v>
      </c>
      <c r="O36" s="36"/>
      <c r="P36" s="36"/>
      <c r="Q36" s="36"/>
      <c r="R36" s="36"/>
      <c r="S36" s="36"/>
      <c r="T36" s="36"/>
      <c r="U36" s="36">
        <f>+'MCC-2r page 7-30'!CH19+'MCC-2r page 7-30'!CH20</f>
        <v>41683.28304620026</v>
      </c>
      <c r="V36" s="36"/>
      <c r="W36" s="36"/>
      <c r="X36" s="36"/>
      <c r="Y36" s="36"/>
      <c r="Z36" s="36"/>
      <c r="AA36" s="36"/>
      <c r="AB36" s="36"/>
      <c r="AC36" s="36"/>
      <c r="AD36" s="36"/>
      <c r="AE36" s="36"/>
      <c r="AF36" s="36"/>
      <c r="AG36" s="36"/>
      <c r="AH36" s="36"/>
      <c r="AI36" s="36"/>
      <c r="AJ36" s="36"/>
      <c r="AK36" s="36"/>
      <c r="AL36" s="36"/>
      <c r="AM36" s="36"/>
      <c r="AN36" s="36"/>
      <c r="AO36" s="36"/>
      <c r="AP36" s="36"/>
      <c r="AQ36" s="36">
        <f t="shared" si="6"/>
        <v>-17230512.350914109</v>
      </c>
      <c r="AR36" s="36">
        <f t="shared" si="7"/>
        <v>2598614.8900138885</v>
      </c>
      <c r="AS36" s="42">
        <f t="shared" si="8"/>
        <v>19829127.240927998</v>
      </c>
      <c r="AT36" s="35">
        <f t="shared" si="9"/>
        <v>-17230512.350914109</v>
      </c>
      <c r="AU36" s="35">
        <f t="shared" si="10"/>
        <v>2598614.8900138885</v>
      </c>
      <c r="AV36" s="42"/>
      <c r="AW36" s="35">
        <f t="shared" si="11"/>
        <v>2598614.8900138885</v>
      </c>
      <c r="AX36" s="36"/>
      <c r="AZ36" s="70"/>
      <c r="BA36" s="67">
        <f t="shared" si="12"/>
        <v>0</v>
      </c>
      <c r="BC36" s="21"/>
      <c r="BD36" s="21"/>
      <c r="BE36" s="21"/>
      <c r="BF36" s="21"/>
      <c r="BG36" s="21"/>
      <c r="BH36" s="21"/>
      <c r="BI36" s="21"/>
      <c r="BJ36" s="21"/>
      <c r="BK36" s="21"/>
      <c r="BL36" s="21"/>
      <c r="BM36" s="21"/>
      <c r="BN36" s="21"/>
      <c r="BO36" s="21"/>
    </row>
    <row r="37" spans="1:67" ht="13.5">
      <c r="A37" s="9">
        <f t="shared" si="0"/>
        <v>22</v>
      </c>
      <c r="B37" s="49" t="s">
        <v>30</v>
      </c>
      <c r="C37" s="49"/>
      <c r="D37" s="36">
        <v>97566974.959999993</v>
      </c>
      <c r="E37" s="36"/>
      <c r="F37" s="36"/>
      <c r="G37" s="36">
        <f>'MCC-2r page 7-30'!Q36</f>
        <v>-97540765.159999996</v>
      </c>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f t="shared" si="6"/>
        <v>-97540765.159999996</v>
      </c>
      <c r="AR37" s="36">
        <f t="shared" si="7"/>
        <v>26209.79999999702</v>
      </c>
      <c r="AS37" s="42">
        <f t="shared" si="8"/>
        <v>97566974.959999993</v>
      </c>
      <c r="AT37" s="35">
        <f t="shared" si="9"/>
        <v>-97540765.159999996</v>
      </c>
      <c r="AU37" s="35">
        <f t="shared" si="10"/>
        <v>26209.79999999702</v>
      </c>
      <c r="AV37" s="42"/>
      <c r="AW37" s="42">
        <f t="shared" si="11"/>
        <v>26209.79999999702</v>
      </c>
      <c r="AX37" s="36"/>
      <c r="AZ37" s="77"/>
      <c r="BA37" s="67">
        <f t="shared" si="12"/>
        <v>0</v>
      </c>
      <c r="BC37" s="21"/>
      <c r="BD37" s="21"/>
      <c r="BE37" s="21"/>
      <c r="BF37" s="21"/>
      <c r="BG37" s="21"/>
      <c r="BH37" s="21"/>
      <c r="BI37" s="21"/>
      <c r="BJ37" s="21"/>
      <c r="BK37" s="21"/>
      <c r="BL37" s="21"/>
      <c r="BM37" s="21"/>
      <c r="BN37" s="21"/>
      <c r="BO37" s="21"/>
    </row>
    <row r="38" spans="1:67" ht="13.5">
      <c r="A38" s="9">
        <f t="shared" si="0"/>
        <v>23</v>
      </c>
      <c r="B38" s="49" t="s">
        <v>29</v>
      </c>
      <c r="C38" s="49"/>
      <c r="D38" s="36">
        <v>114599758.581515</v>
      </c>
      <c r="E38" s="36">
        <f>'MCC-2r page 7-30'!D41</f>
        <v>-57722.627820235684</v>
      </c>
      <c r="F38" s="36">
        <f>'MCC-2r page 7-30'!K44</f>
        <v>66416</v>
      </c>
      <c r="G38" s="36">
        <f>'MCC-2r page 7-30'!Q31+'MCC-2r page 7-30'!Q43</f>
        <v>-426522.21638000006</v>
      </c>
      <c r="H38" s="36"/>
      <c r="I38" s="36"/>
      <c r="J38" s="36" t="s">
        <v>15</v>
      </c>
      <c r="K38" s="36"/>
      <c r="L38" s="36">
        <f>'MCC-2r page 7-30'!AN17</f>
        <v>-106750.2786706667</v>
      </c>
      <c r="M38" s="36"/>
      <c r="N38" s="36">
        <f>'MCC-2r page 7-30'!BB21</f>
        <v>63226.904854136286</v>
      </c>
      <c r="O38" s="36">
        <f>'MCC-2r page 7-30'!BG13</f>
        <v>-24832.496714436435</v>
      </c>
      <c r="P38" s="36"/>
      <c r="Q38" s="76">
        <f>'MCC-2r page 7-30'!BO28</f>
        <v>0</v>
      </c>
      <c r="R38" s="36"/>
      <c r="S38" s="76">
        <f>'MCC-2r page 7-30'!BX15</f>
        <v>-101764.80083986348</v>
      </c>
      <c r="T38" s="76">
        <f>'MCC-2r page 7-30'!CC15</f>
        <v>1822992.9925739774</v>
      </c>
      <c r="U38" s="36">
        <f>+'MCC-2r page 7-30'!CH21</f>
        <v>795244.97081179544</v>
      </c>
      <c r="V38" s="36">
        <f>'MCC-2r page 7-30'!CM32</f>
        <v>148775.67639789265</v>
      </c>
      <c r="W38" s="36">
        <f>'MCC-2r page 7-30'!CR20</f>
        <v>187308.92923393101</v>
      </c>
      <c r="X38" s="36"/>
      <c r="Y38" s="36"/>
      <c r="Z38" s="36">
        <f>'MCC-2r page 7-30'!DG25</f>
        <v>-363750.12810969783</v>
      </c>
      <c r="AA38" s="36">
        <f>+'MCC-2r page 7-30'!DL14</f>
        <v>-51913.275359999388</v>
      </c>
      <c r="AB38" s="36"/>
      <c r="AC38" s="36">
        <f>'MCC-2r page 7-30'!DP14</f>
        <v>-485780</v>
      </c>
      <c r="AD38" s="36"/>
      <c r="AE38" s="36"/>
      <c r="AF38" s="36"/>
      <c r="AG38" s="36"/>
      <c r="AH38" s="36"/>
      <c r="AI38" s="36"/>
      <c r="AJ38" s="36"/>
      <c r="AK38" s="36"/>
      <c r="AL38" s="36"/>
      <c r="AM38" s="36"/>
      <c r="AN38" s="36"/>
      <c r="AO38" s="36"/>
      <c r="AP38" s="36">
        <f>SUM('MCC-2r page 31-45'!BL19:BL21)</f>
        <v>0</v>
      </c>
      <c r="AQ38" s="36">
        <f t="shared" si="6"/>
        <v>1464929.6499768333</v>
      </c>
      <c r="AR38" s="36">
        <f t="shared" si="7"/>
        <v>116064688.23149183</v>
      </c>
      <c r="AS38" s="42">
        <f t="shared" si="8"/>
        <v>114599758.581515</v>
      </c>
      <c r="AT38" s="35">
        <f t="shared" si="9"/>
        <v>1464929.6499768333</v>
      </c>
      <c r="AU38" s="35">
        <f t="shared" si="10"/>
        <v>116064688.23149183</v>
      </c>
      <c r="AV38" s="854">
        <f>+'EXHIBIT MCC-3r'!D22*('EXHIBIT MCC-3r'!P14)</f>
        <v>103201.766</v>
      </c>
      <c r="AW38" s="853">
        <f t="shared" si="11"/>
        <v>116167889.99749184</v>
      </c>
      <c r="AX38" s="36"/>
      <c r="AZ38" s="70">
        <f>'EXHIBIT MCC-6'!AV39</f>
        <v>151458.44400000002</v>
      </c>
      <c r="BA38" s="852">
        <f t="shared" si="12"/>
        <v>-48256.678000000014</v>
      </c>
      <c r="BC38" s="21"/>
      <c r="BD38" s="21"/>
      <c r="BE38" s="21"/>
      <c r="BF38" s="21"/>
      <c r="BG38" s="21"/>
      <c r="BH38" s="21"/>
      <c r="BI38" s="21"/>
      <c r="BJ38" s="21"/>
      <c r="BK38" s="21"/>
      <c r="BL38" s="21"/>
      <c r="BM38" s="21"/>
      <c r="BN38" s="21"/>
      <c r="BO38" s="21"/>
    </row>
    <row r="39" spans="1:67" ht="13.5">
      <c r="A39" s="9">
        <f t="shared" si="0"/>
        <v>24</v>
      </c>
      <c r="B39" s="49" t="s">
        <v>28</v>
      </c>
      <c r="C39" s="49"/>
      <c r="D39" s="36">
        <v>268356984.80397999</v>
      </c>
      <c r="E39" s="36"/>
      <c r="F39" s="36"/>
      <c r="G39" s="36"/>
      <c r="H39" s="36"/>
      <c r="I39" s="36"/>
      <c r="J39" s="855">
        <f>'MCC-2r page 7-30'!AD23+'MCC-2r page 7-30'!AD30</f>
        <v>33567497.1106176</v>
      </c>
      <c r="K39" s="36"/>
      <c r="L39" s="36"/>
      <c r="M39" s="36"/>
      <c r="N39" s="36"/>
      <c r="O39" s="36"/>
      <c r="P39" s="36"/>
      <c r="Q39" s="36"/>
      <c r="R39" s="36"/>
      <c r="S39" s="36"/>
      <c r="T39" s="36"/>
      <c r="U39" s="36"/>
      <c r="V39" s="36"/>
      <c r="W39" s="36"/>
      <c r="X39" s="36"/>
      <c r="Y39" s="36"/>
      <c r="Z39" s="36">
        <f>'MCC-2r page 7-30'!DG26+'MCC-2r page 7-30'!DG27+'MCC-2r page 7-30'!DG28</f>
        <v>-304013.62553715741</v>
      </c>
      <c r="AA39" s="36"/>
      <c r="AB39" s="36"/>
      <c r="AC39" s="36"/>
      <c r="AD39" s="36"/>
      <c r="AE39" s="36"/>
      <c r="AF39" s="36">
        <f>'MCC-2r page 31-45'!O25</f>
        <v>-212138.37865459672</v>
      </c>
      <c r="AG39" s="36"/>
      <c r="AH39" s="36"/>
      <c r="AI39" s="36"/>
      <c r="AJ39" s="36">
        <f>'MCC-2r page 31-45'!AI22+'MCC-2r page 31-45'!AI23</f>
        <v>223831.26558229775</v>
      </c>
      <c r="AK39" s="1"/>
      <c r="AL39" s="36">
        <f>'MCC-2r page 31-45'!AS34</f>
        <v>-3317.0689883994637</v>
      </c>
      <c r="AM39" s="36">
        <f>+'MCC-2r page 31-45'!AX21</f>
        <v>0</v>
      </c>
      <c r="AN39" s="36"/>
      <c r="AO39" s="36"/>
      <c r="AP39" s="36">
        <f>+'MCC-2r page 31-45'!BL25</f>
        <v>0</v>
      </c>
      <c r="AQ39" s="855">
        <f t="shared" si="6"/>
        <v>33271859.303019747</v>
      </c>
      <c r="AR39" s="855">
        <f t="shared" si="7"/>
        <v>301628844.10699975</v>
      </c>
      <c r="AS39" s="42">
        <f t="shared" si="8"/>
        <v>268356984.80397999</v>
      </c>
      <c r="AT39" s="853">
        <f t="shared" si="9"/>
        <v>33271859.303019747</v>
      </c>
      <c r="AU39" s="853">
        <f t="shared" si="10"/>
        <v>301628844.10699975</v>
      </c>
      <c r="AV39" s="42"/>
      <c r="AW39" s="853">
        <f t="shared" si="11"/>
        <v>301628844.10699975</v>
      </c>
      <c r="AX39" s="36"/>
      <c r="AZ39" s="75"/>
      <c r="BA39" s="67">
        <f t="shared" si="12"/>
        <v>0</v>
      </c>
      <c r="BC39" s="21"/>
      <c r="BD39" s="21"/>
      <c r="BE39" s="21"/>
      <c r="BF39" s="21"/>
      <c r="BG39" s="21"/>
      <c r="BH39" s="21"/>
      <c r="BI39" s="21"/>
      <c r="BJ39" s="21"/>
      <c r="BK39" s="21"/>
      <c r="BL39" s="21"/>
      <c r="BM39" s="21"/>
      <c r="BN39" s="21"/>
      <c r="BO39" s="21"/>
    </row>
    <row r="40" spans="1:67" ht="13.5">
      <c r="A40" s="9">
        <f t="shared" si="0"/>
        <v>25</v>
      </c>
      <c r="B40" s="49" t="s">
        <v>27</v>
      </c>
      <c r="C40" s="49"/>
      <c r="D40" s="36">
        <v>45684974.945897996</v>
      </c>
      <c r="E40" s="36"/>
      <c r="F40" s="36"/>
      <c r="G40" s="36"/>
      <c r="H40" s="36"/>
      <c r="I40" s="36"/>
      <c r="J40" s="855">
        <f>'MCC-2r page 7-30'!AD28</f>
        <v>-758675.52946584253</v>
      </c>
      <c r="K40" s="36">
        <f>'MCC-2r page 7-30'!AI26</f>
        <v>7090529.6672114292</v>
      </c>
      <c r="L40" s="36"/>
      <c r="M40" s="36"/>
      <c r="N40" s="36"/>
      <c r="O40" s="36"/>
      <c r="P40" s="36"/>
      <c r="Q40" s="36"/>
      <c r="R40" s="36"/>
      <c r="S40" s="36"/>
      <c r="T40" s="36"/>
      <c r="U40" s="36"/>
      <c r="V40" s="36"/>
      <c r="W40" s="36"/>
      <c r="X40" s="36"/>
      <c r="Y40" s="36"/>
      <c r="Z40" s="36"/>
      <c r="AA40" s="36"/>
      <c r="AB40" s="36"/>
      <c r="AC40" s="36"/>
      <c r="AD40" s="36"/>
      <c r="AE40" s="36"/>
      <c r="AF40" s="36"/>
      <c r="AG40" s="36"/>
      <c r="AI40" s="36"/>
      <c r="AK40" s="36">
        <f>+'MCC-2r page 31-45'!AN21</f>
        <v>0</v>
      </c>
      <c r="AN40" s="1"/>
      <c r="AO40" s="19">
        <f>+'MCC-2r page 31-45'!BH19</f>
        <v>2417843.3333333335</v>
      </c>
      <c r="AP40" s="36">
        <f>'MCC-2r page 31-45'!BL27</f>
        <v>0</v>
      </c>
      <c r="AQ40" s="855">
        <f t="shared" si="6"/>
        <v>8749697.4710789211</v>
      </c>
      <c r="AR40" s="855">
        <f t="shared" si="7"/>
        <v>54434672.416976914</v>
      </c>
      <c r="AS40" s="42">
        <f t="shared" si="8"/>
        <v>45684974.945897996</v>
      </c>
      <c r="AT40" s="853">
        <f t="shared" si="9"/>
        <v>8749697.4710789211</v>
      </c>
      <c r="AU40" s="853">
        <f t="shared" si="10"/>
        <v>54434672.416976914</v>
      </c>
      <c r="AV40" s="42"/>
      <c r="AW40" s="853">
        <f t="shared" si="11"/>
        <v>54434672.416976914</v>
      </c>
      <c r="AX40" s="36"/>
      <c r="AZ40" s="72"/>
      <c r="BA40" s="67">
        <f t="shared" si="12"/>
        <v>0</v>
      </c>
      <c r="BC40" s="21"/>
      <c r="BD40" s="21"/>
      <c r="BE40" s="21"/>
      <c r="BF40" s="21"/>
      <c r="BG40" s="21"/>
      <c r="BH40" s="21"/>
      <c r="BI40" s="21"/>
      <c r="BJ40" s="21"/>
      <c r="BK40" s="21"/>
      <c r="BL40" s="21"/>
      <c r="BM40" s="21"/>
      <c r="BN40" s="21"/>
      <c r="BO40" s="21"/>
    </row>
    <row r="41" spans="1:67" ht="13.5">
      <c r="A41" s="9">
        <f t="shared" si="0"/>
        <v>26</v>
      </c>
      <c r="B41" s="74" t="s">
        <v>26</v>
      </c>
      <c r="C41" s="74"/>
      <c r="D41" s="36">
        <v>20604866.16</v>
      </c>
      <c r="E41" s="36"/>
      <c r="F41" s="36"/>
      <c r="G41" s="36"/>
      <c r="H41" s="36"/>
      <c r="I41" s="36"/>
      <c r="J41" s="36"/>
      <c r="K41" s="36"/>
      <c r="L41" s="36"/>
      <c r="M41" s="36"/>
      <c r="N41" s="36"/>
      <c r="O41" s="36"/>
      <c r="P41" s="36"/>
      <c r="Q41" s="36"/>
      <c r="R41" s="36" t="s">
        <v>15</v>
      </c>
      <c r="S41" s="36"/>
      <c r="T41" s="36"/>
      <c r="U41" s="36"/>
      <c r="V41" s="36"/>
      <c r="W41" s="36"/>
      <c r="X41" s="36"/>
      <c r="Y41" s="36"/>
      <c r="Z41" s="36"/>
      <c r="AA41" s="36"/>
      <c r="AB41" s="36"/>
      <c r="AC41" s="36"/>
      <c r="AD41" s="36"/>
      <c r="AE41" s="36"/>
      <c r="AF41" s="36"/>
      <c r="AG41" s="36"/>
      <c r="AH41" s="36">
        <f>'MCC-2r page 31-45'!Y62</f>
        <v>-6728424.5</v>
      </c>
      <c r="AI41" s="36">
        <f>'MCC-2r page 31-45'!AD43</f>
        <v>-241268.10200000007</v>
      </c>
      <c r="AJ41" s="36"/>
      <c r="AK41" s="36"/>
      <c r="AL41" s="36"/>
      <c r="AM41" s="36"/>
      <c r="AN41" s="71">
        <f>'MCC-2r page 31-45'!BC23</f>
        <v>0</v>
      </c>
      <c r="AO41" s="1"/>
      <c r="AP41" s="36">
        <f>'MCC-2r page 31-45'!BL39+'MCC-2r page 31-45'!BL36</f>
        <v>0</v>
      </c>
      <c r="AQ41" s="36">
        <f t="shared" si="6"/>
        <v>-6969692.602</v>
      </c>
      <c r="AR41" s="36">
        <f t="shared" si="7"/>
        <v>13635173.558</v>
      </c>
      <c r="AS41" s="42">
        <f t="shared" si="8"/>
        <v>20604866.16</v>
      </c>
      <c r="AT41" s="35">
        <f t="shared" si="9"/>
        <v>-6969692.602</v>
      </c>
      <c r="AU41" s="35">
        <f t="shared" si="10"/>
        <v>13635173.558</v>
      </c>
      <c r="AV41" s="42"/>
      <c r="AW41" s="35">
        <f t="shared" si="11"/>
        <v>13635173.558</v>
      </c>
      <c r="AX41" s="36"/>
      <c r="AZ41" s="73"/>
      <c r="BA41" s="67">
        <f t="shared" si="12"/>
        <v>0</v>
      </c>
      <c r="BC41" s="21"/>
      <c r="BD41" s="21"/>
      <c r="BE41" s="21"/>
      <c r="BF41" s="21"/>
      <c r="BG41" s="21"/>
      <c r="BH41" s="21"/>
      <c r="BI41" s="21"/>
      <c r="BJ41" s="21"/>
      <c r="BK41" s="21"/>
      <c r="BL41" s="21"/>
      <c r="BM41" s="21"/>
      <c r="BN41" s="21"/>
      <c r="BO41" s="21"/>
    </row>
    <row r="42" spans="1:67" ht="13.5">
      <c r="A42" s="9">
        <f t="shared" si="0"/>
        <v>27</v>
      </c>
      <c r="B42" s="49" t="s">
        <v>25</v>
      </c>
      <c r="C42" s="49"/>
      <c r="D42" s="36">
        <v>-9997193.5551139992</v>
      </c>
      <c r="E42" s="36">
        <f>+'MCC-2r page 7-30'!E39</f>
        <v>17342294.120000005</v>
      </c>
      <c r="F42" s="36"/>
      <c r="G42" s="36">
        <f>'MCC-2r page 7-30'!Q41+'MCC-2r page 7-30'!Q45</f>
        <v>365334.82</v>
      </c>
      <c r="H42" s="36"/>
      <c r="I42" s="36"/>
      <c r="J42" s="36"/>
      <c r="K42" s="36"/>
      <c r="L42" s="36"/>
      <c r="M42" s="36"/>
      <c r="N42" s="36"/>
      <c r="O42" s="36"/>
      <c r="P42" s="36"/>
      <c r="Q42" s="36"/>
      <c r="R42" s="36">
        <f>'MCC-2r page 7-30'!BS27</f>
        <v>-263384.27666666743</v>
      </c>
      <c r="S42" s="36"/>
      <c r="T42" s="36"/>
      <c r="U42" s="36"/>
      <c r="V42" s="36"/>
      <c r="W42" s="36"/>
      <c r="X42" s="36">
        <f>'MCC-2r page 7-30'!CW18</f>
        <v>850440.58200000005</v>
      </c>
      <c r="Y42" s="36"/>
      <c r="Z42" s="36"/>
      <c r="AA42" s="36"/>
      <c r="AB42" s="36"/>
      <c r="AC42" s="36"/>
      <c r="AD42" s="36"/>
      <c r="AE42" s="36"/>
      <c r="AF42" s="36"/>
      <c r="AG42" s="36"/>
      <c r="AH42" s="36"/>
      <c r="AI42" s="36">
        <f>'MCC-2r page 31-45'!AD53-AI41</f>
        <v>-2429827.2079230589</v>
      </c>
      <c r="AJ42" s="36"/>
      <c r="AK42" s="36"/>
      <c r="AL42" s="36"/>
      <c r="AM42" s="36"/>
      <c r="AN42" s="36"/>
      <c r="AP42" s="36">
        <f>SUM('MCC-2r page 31-45'!BL37,'MCC-2r page 31-45'!BL38,'MCC-2r page 31-45'!BL40,'MCC-2r page 31-45'!BL42,'MCC-2r page 31-45'!BL43,'MCC-2r page 31-45'!BL44,'MCC-2r page 31-45'!BL46)</f>
        <v>0</v>
      </c>
      <c r="AQ42" s="36">
        <f t="shared" si="6"/>
        <v>15864858.037410278</v>
      </c>
      <c r="AR42" s="36">
        <f t="shared" si="7"/>
        <v>5867664.4822962787</v>
      </c>
      <c r="AS42" s="42">
        <f t="shared" si="8"/>
        <v>-9997193.5551139992</v>
      </c>
      <c r="AT42" s="35">
        <f t="shared" si="9"/>
        <v>15864858.037410278</v>
      </c>
      <c r="AU42" s="35">
        <f t="shared" si="10"/>
        <v>5867664.4822962787</v>
      </c>
      <c r="AV42" s="42"/>
      <c r="AW42" s="35">
        <f t="shared" si="11"/>
        <v>5867664.4822962787</v>
      </c>
      <c r="AX42" s="36"/>
      <c r="AZ42" s="72"/>
      <c r="BA42" s="67">
        <f t="shared" si="12"/>
        <v>0</v>
      </c>
      <c r="BC42" s="21"/>
      <c r="BD42" s="21"/>
      <c r="BE42" s="21"/>
      <c r="BF42" s="21"/>
      <c r="BG42" s="21"/>
      <c r="BH42" s="21"/>
      <c r="BI42" s="21"/>
      <c r="BJ42" s="21"/>
      <c r="BK42" s="21"/>
      <c r="BL42" s="21"/>
      <c r="BM42" s="21"/>
      <c r="BN42" s="21"/>
      <c r="BO42" s="21"/>
    </row>
    <row r="43" spans="1:67" ht="13.5">
      <c r="A43" s="9">
        <f t="shared" si="0"/>
        <v>28</v>
      </c>
      <c r="B43" s="3" t="s">
        <v>24</v>
      </c>
      <c r="D43" s="36">
        <v>-64111667.629999898</v>
      </c>
      <c r="AA43" s="71"/>
      <c r="AG43" s="19">
        <f>'MCC-2r page 31-45'!T13</f>
        <v>64111667.629999898</v>
      </c>
      <c r="AQ43" s="36">
        <f t="shared" si="6"/>
        <v>64111667.629999898</v>
      </c>
      <c r="AR43" s="36">
        <f t="shared" si="7"/>
        <v>0</v>
      </c>
      <c r="AS43" s="42">
        <f t="shared" si="8"/>
        <v>-64111667.629999898</v>
      </c>
      <c r="AT43" s="35">
        <f t="shared" si="9"/>
        <v>64111667.629999898</v>
      </c>
      <c r="AU43" s="35">
        <f t="shared" si="10"/>
        <v>0</v>
      </c>
      <c r="AV43" s="42"/>
      <c r="AW43" s="35">
        <f t="shared" si="11"/>
        <v>0</v>
      </c>
      <c r="AX43" s="36"/>
      <c r="AZ43" s="72"/>
      <c r="BA43" s="67">
        <f t="shared" si="12"/>
        <v>0</v>
      </c>
      <c r="BC43" s="21"/>
      <c r="BD43" s="21"/>
      <c r="BE43" s="21"/>
      <c r="BF43" s="21"/>
      <c r="BG43" s="21"/>
      <c r="BH43" s="21"/>
      <c r="BI43" s="21"/>
      <c r="BJ43" s="21"/>
      <c r="BK43" s="21"/>
      <c r="BL43" s="21"/>
      <c r="BM43" s="21"/>
      <c r="BN43" s="21"/>
      <c r="BO43" s="21"/>
    </row>
    <row r="44" spans="1:67" ht="13.5">
      <c r="A44" s="9">
        <f t="shared" si="0"/>
        <v>29</v>
      </c>
      <c r="B44" s="49" t="s">
        <v>23</v>
      </c>
      <c r="C44" s="49"/>
      <c r="D44" s="36">
        <v>230800256.78218898</v>
      </c>
      <c r="E44" s="36">
        <f>+'MCC-2r page 7-30'!D42</f>
        <v>-1109919.5490414018</v>
      </c>
      <c r="F44" s="36">
        <f>'MCC-2r page 7-30'!K47</f>
        <v>1277076</v>
      </c>
      <c r="G44" s="42">
        <f>'MCC-2r page 7-30'!Q32+'MCC-2r page 7-30'!Q38+'MCC-2r page 7-30'!Q37+'MCC-2r page 7-30'!Q44</f>
        <v>-144297723.10863283</v>
      </c>
      <c r="H44" s="36"/>
      <c r="I44" s="36"/>
      <c r="J44" s="36"/>
      <c r="K44" s="36"/>
      <c r="L44" s="36"/>
      <c r="M44" s="36"/>
      <c r="N44" s="42">
        <f>'MCC-2r page 7-30'!BB24</f>
        <v>9990.7095914349775</v>
      </c>
      <c r="O44" s="36"/>
      <c r="P44" s="36"/>
      <c r="Q44" s="36"/>
      <c r="R44" s="36"/>
      <c r="S44" s="36"/>
      <c r="T44" s="36"/>
      <c r="U44" s="36">
        <f>+'MCC-2r page 7-30'!CH24</f>
        <v>133533.17603166337</v>
      </c>
      <c r="V44" s="36"/>
      <c r="W44" s="36"/>
      <c r="X44" s="36"/>
      <c r="Y44" s="36"/>
      <c r="Z44" s="36"/>
      <c r="AA44" s="71">
        <f>+'MCC-2r page 7-30'!DL13</f>
        <v>36124.958262011409</v>
      </c>
      <c r="AB44" s="42"/>
      <c r="AC44" s="42"/>
      <c r="AD44" s="36">
        <f>-'MCC-2r page 31-45'!E30</f>
        <v>66449.327085792553</v>
      </c>
      <c r="AE44" s="36">
        <f>-'MCC-2r page 31-45'!J23</f>
        <v>-94051.271335334284</v>
      </c>
      <c r="AF44" s="36"/>
      <c r="AG44" s="36"/>
      <c r="AH44" s="36"/>
      <c r="AI44" s="42"/>
      <c r="AJ44" s="36"/>
      <c r="AK44" s="36"/>
      <c r="AL44" s="36"/>
      <c r="AM44" s="36"/>
      <c r="AN44" s="36"/>
      <c r="AO44" s="36"/>
      <c r="AP44" s="42">
        <f>+'MCC-2r page 31-45'!BL32</f>
        <v>0</v>
      </c>
      <c r="AQ44" s="36">
        <f t="shared" si="6"/>
        <v>-143978519.75803867</v>
      </c>
      <c r="AR44" s="36">
        <f t="shared" si="7"/>
        <v>86821737.024150312</v>
      </c>
      <c r="AS44" s="42">
        <f t="shared" si="8"/>
        <v>230800256.78218898</v>
      </c>
      <c r="AT44" s="35">
        <f t="shared" si="9"/>
        <v>-143978519.75803867</v>
      </c>
      <c r="AU44" s="35">
        <f t="shared" si="10"/>
        <v>86821737.024150312</v>
      </c>
      <c r="AV44" s="854">
        <f>+'EXHIBIT MCC-3r'!D22*'EXHIBIT MCC-3r'!P15</f>
        <v>1984415.157531</v>
      </c>
      <c r="AW44" s="35">
        <f t="shared" si="11"/>
        <v>88806152.181681305</v>
      </c>
      <c r="AX44" s="36"/>
      <c r="AZ44" s="70">
        <f>'EXHIBIT MCC-6'!AV45</f>
        <v>2912318.6904539997</v>
      </c>
      <c r="BA44" s="852">
        <f t="shared" si="12"/>
        <v>-927903.5329229997</v>
      </c>
      <c r="BC44" s="21"/>
      <c r="BD44" s="21"/>
      <c r="BE44" s="21"/>
      <c r="BF44" s="21"/>
      <c r="BG44" s="21"/>
      <c r="BH44" s="21"/>
      <c r="BI44" s="21"/>
      <c r="BJ44" s="21"/>
      <c r="BK44" s="21"/>
      <c r="BL44" s="21"/>
      <c r="BM44" s="21"/>
      <c r="BN44" s="21"/>
      <c r="BO44" s="21"/>
    </row>
    <row r="45" spans="1:67" ht="13.5">
      <c r="A45" s="9">
        <f t="shared" si="0"/>
        <v>30</v>
      </c>
      <c r="B45" s="49" t="s">
        <v>22</v>
      </c>
      <c r="C45" s="49"/>
      <c r="D45" s="36">
        <v>800</v>
      </c>
      <c r="E45" s="36">
        <f>'MCC-2r page 7-30'!E48</f>
        <v>-15690291.900360523</v>
      </c>
      <c r="F45" s="36">
        <f>'MCC-2r page 7-30'!L52</f>
        <v>11069360</v>
      </c>
      <c r="G45" s="36">
        <f>'MCC-2r page 7-30'!Q49</f>
        <v>-538752.47499545664</v>
      </c>
      <c r="H45" s="36">
        <f>+'MCC-2r page 7-30'!U30</f>
        <v>144836215.65657258</v>
      </c>
      <c r="I45" s="855">
        <f>+'MCC-2r page 7-30'!Y22</f>
        <v>-52406954.009995006</v>
      </c>
      <c r="J45" s="855">
        <f>+'MCC-2r page 7-30'!AD34</f>
        <v>-11483087.553403113</v>
      </c>
      <c r="K45" s="36">
        <f>'MCC-2r page 7-30'!AI28</f>
        <v>-2481685.3835240002</v>
      </c>
      <c r="L45" s="36">
        <f>'MCC-2r page 7-30'!AN18</f>
        <v>37363</v>
      </c>
      <c r="M45" s="36">
        <f>'MCC-2r page 7-30'!AW28</f>
        <v>366727</v>
      </c>
      <c r="N45" s="36">
        <f>'MCC-2r page 7-30'!BB29</f>
        <v>-59178.640367391366</v>
      </c>
      <c r="O45" s="36">
        <f>'MCC-2r page 7-30'!BG17</f>
        <v>8691.3738500527506</v>
      </c>
      <c r="P45" s="36"/>
      <c r="Q45" s="44">
        <f>'MCC-2r page 7-30'!BO30</f>
        <v>0</v>
      </c>
      <c r="R45" s="36">
        <f>'MCC-2r page 7-30'!BS29</f>
        <v>92184.4968333336</v>
      </c>
      <c r="S45" s="36">
        <f>'MCC-2r page 7-30'!BX19</f>
        <v>35617.680293952217</v>
      </c>
      <c r="T45" s="36">
        <f>'MCC-2r page 7-30'!CC17</f>
        <v>-638047.54740089201</v>
      </c>
      <c r="U45" s="36">
        <f>+'MCC-2r page 7-30'!CH28</f>
        <v>-731077.62487731851</v>
      </c>
      <c r="V45" s="36">
        <f>'MCC-2r page 7-30'!CM34</f>
        <v>-52071</v>
      </c>
      <c r="W45" s="36">
        <f>'MCC-2r page 7-30'!CR22</f>
        <v>-65558</v>
      </c>
      <c r="X45" s="36">
        <f>'MCC-2r page 7-30'!CW20</f>
        <v>-297654</v>
      </c>
      <c r="Y45" s="36">
        <f>'MCC-2r page 7-30'!DB25</f>
        <v>-1082426.7768777821</v>
      </c>
      <c r="Z45" s="36">
        <f>'MCC-2r page 7-30'!DG32</f>
        <v>233717.31377639933</v>
      </c>
      <c r="AA45" s="36">
        <f>'MCC-2r page 7-30'!DL18</f>
        <v>5526</v>
      </c>
      <c r="AB45" s="36"/>
      <c r="AC45" s="36">
        <f>'MCC-2r page 7-30'!DP16</f>
        <v>170023</v>
      </c>
      <c r="AD45" s="36">
        <f>+'MCC-2r page 31-45'!E32</f>
        <v>-1523507.9277772233</v>
      </c>
      <c r="AE45" s="36">
        <f>+'MCC-2r page 31-45'!J25</f>
        <v>32918</v>
      </c>
      <c r="AF45" s="36">
        <f>'MCC-2r page 31-45'!O27</f>
        <v>74248</v>
      </c>
      <c r="AG45" s="36"/>
      <c r="AH45" s="36">
        <f>'MCC-2r page 31-45'!Y66</f>
        <v>-343373.8647499982</v>
      </c>
      <c r="AI45" s="36">
        <f>'MCC-2r page 31-45'!AD59</f>
        <v>934883.35847307055</v>
      </c>
      <c r="AJ45" s="36">
        <f>'MCC-2r page 31-45'!AI28</f>
        <v>-78340.942953804202</v>
      </c>
      <c r="AK45" s="36">
        <f>+'MCC-2r page 31-45'!AN28</f>
        <v>0</v>
      </c>
      <c r="AL45" s="36">
        <f>'MCC-2r page 31-45'!AS38</f>
        <v>1160.9741459398122</v>
      </c>
      <c r="AM45" s="36">
        <f>+'MCC-2r page 31-45'!AX27</f>
        <v>0</v>
      </c>
      <c r="AN45" s="36">
        <f>'MCC-2r page 31-45'!BC28</f>
        <v>0</v>
      </c>
      <c r="AO45" s="36">
        <f>+'MCC-2r page 31-45'!BH22</f>
        <v>-846245.16666666663</v>
      </c>
      <c r="AP45" s="36">
        <f>'MCC-2r page 31-45'!BM49+'MCC-2r page 31-45'!BL31</f>
        <v>-34156.472365063768</v>
      </c>
      <c r="AQ45" s="855">
        <f t="shared" si="6"/>
        <v>69546226.567631081</v>
      </c>
      <c r="AR45" s="855">
        <f t="shared" si="7"/>
        <v>69547026.567631081</v>
      </c>
      <c r="AS45" s="42">
        <f t="shared" si="8"/>
        <v>800</v>
      </c>
      <c r="AT45" s="853">
        <f t="shared" si="9"/>
        <v>69546226.567631081</v>
      </c>
      <c r="AU45" s="853">
        <f t="shared" si="10"/>
        <v>69547026.567631081</v>
      </c>
      <c r="AV45" s="854">
        <f>+'EXHIBIT MCC-3r'!D22*'EXHIBIT MCC-3r'!P20</f>
        <v>17200380.334805001</v>
      </c>
      <c r="AW45" s="853">
        <f t="shared" si="11"/>
        <v>86747406.902436078</v>
      </c>
      <c r="AX45" s="36"/>
      <c r="AZ45" s="70">
        <f>'EXHIBIT MCC-6'!AV46</f>
        <v>25243200.215369999</v>
      </c>
      <c r="BA45" s="852">
        <f t="shared" si="12"/>
        <v>-8042819.8805649988</v>
      </c>
      <c r="BC45" s="61"/>
      <c r="BD45" s="21"/>
      <c r="BE45" s="21"/>
      <c r="BF45" s="21"/>
      <c r="BG45" s="21"/>
      <c r="BH45" s="21"/>
      <c r="BI45" s="21"/>
      <c r="BJ45" s="21"/>
      <c r="BK45" s="21"/>
      <c r="BL45" s="21"/>
      <c r="BM45" s="21"/>
      <c r="BN45" s="21"/>
      <c r="BO45" s="21"/>
    </row>
    <row r="46" spans="1:67" ht="13.5">
      <c r="A46" s="9">
        <f t="shared" si="0"/>
        <v>31</v>
      </c>
      <c r="B46" s="3" t="s">
        <v>21</v>
      </c>
      <c r="D46" s="69">
        <v>181996914.66999999</v>
      </c>
      <c r="E46" s="69"/>
      <c r="F46" s="69"/>
      <c r="G46" s="35"/>
      <c r="H46" s="36">
        <f>'MCC-2r page 7-30'!U31</f>
        <v>-117812976.8499999</v>
      </c>
      <c r="I46" s="36"/>
      <c r="J46" s="69"/>
      <c r="K46" s="35"/>
      <c r="L46" s="35"/>
      <c r="M46" s="69"/>
      <c r="N46" s="35"/>
      <c r="O46" s="69"/>
      <c r="P46" s="69"/>
      <c r="Q46" s="69"/>
      <c r="R46" s="69"/>
      <c r="S46" s="69"/>
      <c r="T46" s="69"/>
      <c r="U46" s="69"/>
      <c r="V46" s="69"/>
      <c r="W46" s="69"/>
      <c r="X46" s="69"/>
      <c r="Y46" s="69"/>
      <c r="Z46" s="69"/>
      <c r="AA46" s="69"/>
      <c r="AB46" s="35"/>
      <c r="AC46" s="35"/>
      <c r="AD46" s="69"/>
      <c r="AE46" s="69"/>
      <c r="AF46" s="35"/>
      <c r="AG46" s="36">
        <f>'MCC-2r page 31-45'!T19</f>
        <v>-22439083.670499962</v>
      </c>
      <c r="AH46" s="69"/>
      <c r="AI46" s="35"/>
      <c r="AJ46" s="69"/>
      <c r="AK46" s="69"/>
      <c r="AL46" s="69"/>
      <c r="AM46" s="69"/>
      <c r="AN46" s="69"/>
      <c r="AO46" s="35"/>
      <c r="AP46" s="35"/>
      <c r="AQ46" s="36">
        <f t="shared" si="6"/>
        <v>-140252060.52049986</v>
      </c>
      <c r="AR46" s="36">
        <f t="shared" si="7"/>
        <v>41744854.149500132</v>
      </c>
      <c r="AS46" s="42">
        <f t="shared" si="8"/>
        <v>181996914.66999999</v>
      </c>
      <c r="AT46" s="69">
        <f t="shared" si="9"/>
        <v>-140252060.52049986</v>
      </c>
      <c r="AU46" s="69">
        <f t="shared" si="10"/>
        <v>41744854.149500132</v>
      </c>
      <c r="AV46" s="42"/>
      <c r="AW46" s="69">
        <f t="shared" si="11"/>
        <v>41744854.149500132</v>
      </c>
      <c r="AX46" s="36"/>
      <c r="AZ46" s="68"/>
      <c r="BA46" s="67">
        <f t="shared" si="12"/>
        <v>0</v>
      </c>
      <c r="BC46" s="21"/>
      <c r="BD46" s="21"/>
      <c r="BE46" s="21"/>
      <c r="BF46" s="21"/>
      <c r="BG46" s="21"/>
      <c r="BH46" s="21"/>
      <c r="BI46" s="21"/>
      <c r="BJ46" s="21"/>
      <c r="BK46" s="21"/>
      <c r="BL46" s="21"/>
      <c r="BM46" s="21"/>
      <c r="BN46" s="21"/>
      <c r="BO46" s="21"/>
    </row>
    <row r="47" spans="1:67" ht="13.5">
      <c r="A47" s="9">
        <f t="shared" si="0"/>
        <v>32</v>
      </c>
      <c r="B47" s="49" t="s">
        <v>20</v>
      </c>
      <c r="C47" s="49"/>
      <c r="D47" s="66">
        <f t="shared" ref="D47:AW47" si="13">SUM(D30:D46)</f>
        <v>1994336799.3812201</v>
      </c>
      <c r="E47" s="66">
        <f t="shared" si="13"/>
        <v>277799.6191231329</v>
      </c>
      <c r="F47" s="66">
        <f t="shared" si="13"/>
        <v>12650521</v>
      </c>
      <c r="G47" s="66">
        <f t="shared" si="13"/>
        <v>-191823830.72929412</v>
      </c>
      <c r="H47" s="66">
        <f t="shared" si="13"/>
        <v>27023238.806572676</v>
      </c>
      <c r="I47" s="850">
        <f t="shared" si="13"/>
        <v>-52406954.009995006</v>
      </c>
      <c r="J47" s="850">
        <f t="shared" si="13"/>
        <v>21325734.027748644</v>
      </c>
      <c r="K47" s="66">
        <f t="shared" si="13"/>
        <v>4608844.2836874295</v>
      </c>
      <c r="L47" s="66">
        <f t="shared" si="13"/>
        <v>-69387.278670666696</v>
      </c>
      <c r="M47" s="66">
        <f t="shared" si="13"/>
        <v>-681065</v>
      </c>
      <c r="N47" s="66">
        <f t="shared" si="13"/>
        <v>109903.18925372648</v>
      </c>
      <c r="O47" s="66">
        <f t="shared" si="13"/>
        <v>-16141.122864383684</v>
      </c>
      <c r="P47" s="66">
        <f t="shared" si="13"/>
        <v>176605.63064400846</v>
      </c>
      <c r="Q47" s="66">
        <f t="shared" si="13"/>
        <v>0</v>
      </c>
      <c r="R47" s="66">
        <f t="shared" si="13"/>
        <v>-171199.77983333383</v>
      </c>
      <c r="S47" s="66">
        <f t="shared" si="13"/>
        <v>-66147.120545911268</v>
      </c>
      <c r="T47" s="66">
        <f t="shared" si="13"/>
        <v>1184945.4451730854</v>
      </c>
      <c r="U47" s="66">
        <f t="shared" si="13"/>
        <v>1357715.5890578774</v>
      </c>
      <c r="V47" s="66">
        <f t="shared" si="13"/>
        <v>96704.676397892646</v>
      </c>
      <c r="W47" s="66">
        <f t="shared" si="13"/>
        <v>121750.92923393101</v>
      </c>
      <c r="X47" s="66">
        <f t="shared" si="13"/>
        <v>552786.58200000005</v>
      </c>
      <c r="Y47" s="66">
        <f t="shared" si="13"/>
        <v>2010221.1570587384</v>
      </c>
      <c r="Z47" s="66">
        <f t="shared" si="13"/>
        <v>-434046.43987045588</v>
      </c>
      <c r="AA47" s="66">
        <f t="shared" si="13"/>
        <v>-10262.31709798798</v>
      </c>
      <c r="AB47" s="66">
        <f t="shared" si="13"/>
        <v>0</v>
      </c>
      <c r="AC47" s="66">
        <f t="shared" si="13"/>
        <v>-315757</v>
      </c>
      <c r="AD47" s="66">
        <f t="shared" si="13"/>
        <v>-139613266.10616663</v>
      </c>
      <c r="AE47" s="66">
        <f t="shared" si="13"/>
        <v>-61133.271335334284</v>
      </c>
      <c r="AF47" s="66">
        <f t="shared" si="13"/>
        <v>-137890.37865459672</v>
      </c>
      <c r="AG47" s="66">
        <f t="shared" si="13"/>
        <v>41672583.95949994</v>
      </c>
      <c r="AH47" s="66">
        <f t="shared" si="13"/>
        <v>637694.32024999673</v>
      </c>
      <c r="AI47" s="66">
        <f t="shared" si="13"/>
        <v>-1736211.9514499884</v>
      </c>
      <c r="AJ47" s="66">
        <f t="shared" si="13"/>
        <v>145490.32262849354</v>
      </c>
      <c r="AK47" s="66">
        <f t="shared" si="13"/>
        <v>0</v>
      </c>
      <c r="AL47" s="66">
        <f t="shared" si="13"/>
        <v>-2156.0948424596518</v>
      </c>
      <c r="AM47" s="66">
        <f t="shared" si="13"/>
        <v>0</v>
      </c>
      <c r="AN47" s="66">
        <f t="shared" si="13"/>
        <v>0</v>
      </c>
      <c r="AO47" s="66">
        <f t="shared" si="13"/>
        <v>1571598.166666667</v>
      </c>
      <c r="AP47" s="66">
        <f t="shared" si="13"/>
        <v>-34156.472365063768</v>
      </c>
      <c r="AQ47" s="850">
        <f t="shared" si="13"/>
        <v>-272055467.36798978</v>
      </c>
      <c r="AR47" s="850">
        <f t="shared" si="13"/>
        <v>1722281332.0132301</v>
      </c>
      <c r="AS47" s="65">
        <f t="shared" si="13"/>
        <v>1994336799.3812201</v>
      </c>
      <c r="AT47" s="850">
        <f t="shared" si="13"/>
        <v>-272055467.36798978</v>
      </c>
      <c r="AU47" s="850">
        <f t="shared" si="13"/>
        <v>1722281332.0132301</v>
      </c>
      <c r="AV47" s="861">
        <f t="shared" si="13"/>
        <v>19657304.777966999</v>
      </c>
      <c r="AW47" s="850">
        <f t="shared" si="13"/>
        <v>1741938636.7911973</v>
      </c>
      <c r="AX47" s="64"/>
      <c r="AY47" s="63"/>
      <c r="AZ47" s="62">
        <f>SUM(AZ30:AZ46)</f>
        <v>28848971.391677998</v>
      </c>
      <c r="BA47" s="856">
        <f>SUM(BA30:BA46)</f>
        <v>-9191666.6137109995</v>
      </c>
      <c r="BC47" s="61"/>
      <c r="BD47" s="21"/>
      <c r="BE47" s="21"/>
      <c r="BF47" s="21"/>
      <c r="BG47" s="21"/>
      <c r="BH47" s="21"/>
      <c r="BI47" s="21"/>
      <c r="BJ47" s="21"/>
      <c r="BK47" s="21"/>
      <c r="BL47" s="21"/>
      <c r="BM47" s="21"/>
      <c r="BN47" s="21"/>
      <c r="BO47" s="21"/>
    </row>
    <row r="48" spans="1:67">
      <c r="A48" s="9">
        <f t="shared" si="0"/>
        <v>33</v>
      </c>
      <c r="D48" s="19"/>
      <c r="E48" s="19" t="s">
        <v>15</v>
      </c>
      <c r="F48" s="19" t="s">
        <v>15</v>
      </c>
      <c r="G48" s="19"/>
      <c r="H48" s="19" t="s">
        <v>15</v>
      </c>
      <c r="I48" s="19" t="s">
        <v>15</v>
      </c>
      <c r="J48" s="19"/>
      <c r="K48" s="19"/>
      <c r="L48" s="19"/>
      <c r="M48" s="19" t="s">
        <v>15</v>
      </c>
      <c r="N48" s="19"/>
      <c r="O48" s="19" t="s">
        <v>15</v>
      </c>
      <c r="P48" s="19" t="s">
        <v>15</v>
      </c>
      <c r="Q48" s="19" t="s">
        <v>15</v>
      </c>
      <c r="R48" s="19" t="s">
        <v>15</v>
      </c>
      <c r="S48" s="19"/>
      <c r="T48" s="19"/>
      <c r="U48" s="19" t="s">
        <v>15</v>
      </c>
      <c r="V48" s="19" t="s">
        <v>15</v>
      </c>
      <c r="W48" s="19" t="s">
        <v>15</v>
      </c>
      <c r="X48" s="19" t="s">
        <v>15</v>
      </c>
      <c r="Y48" s="19"/>
      <c r="Z48" s="19"/>
      <c r="AA48" s="19"/>
      <c r="AB48" s="19"/>
      <c r="AC48" s="19"/>
      <c r="AD48" s="19" t="s">
        <v>15</v>
      </c>
      <c r="AE48" s="19" t="s">
        <v>15</v>
      </c>
      <c r="AF48" s="19"/>
      <c r="AG48" s="19"/>
      <c r="AH48" s="19" t="s">
        <v>15</v>
      </c>
      <c r="AI48" s="19"/>
      <c r="AJ48" s="19"/>
      <c r="AK48" s="19"/>
      <c r="AL48" s="19"/>
      <c r="AM48" s="19"/>
      <c r="AN48" s="19"/>
      <c r="AO48" s="19"/>
      <c r="AP48" s="19"/>
      <c r="AQ48" s="19"/>
      <c r="AR48" s="19"/>
      <c r="AS48" s="42"/>
      <c r="AT48" s="19"/>
      <c r="AU48" s="19"/>
      <c r="AV48" s="42"/>
      <c r="AW48" s="19"/>
      <c r="AX48" s="19"/>
      <c r="AZ48" s="60"/>
      <c r="BA48" s="60"/>
      <c r="BC48" s="21"/>
      <c r="BD48" s="21"/>
      <c r="BE48" s="21"/>
      <c r="BF48" s="21"/>
      <c r="BG48" s="21"/>
      <c r="BH48" s="21"/>
      <c r="BI48" s="21"/>
      <c r="BJ48" s="21"/>
      <c r="BK48" s="21"/>
      <c r="BL48" s="21"/>
      <c r="BM48" s="21"/>
      <c r="BN48" s="21"/>
      <c r="BO48" s="21"/>
    </row>
    <row r="49" spans="1:67" s="20" customFormat="1" ht="13.5">
      <c r="A49" s="26">
        <f t="shared" si="0"/>
        <v>34</v>
      </c>
      <c r="B49" s="54" t="s">
        <v>19</v>
      </c>
      <c r="C49" s="54"/>
      <c r="D49" s="53">
        <f t="shared" ref="D49:AW49" si="14">D21-D47</f>
        <v>401002971.69877887</v>
      </c>
      <c r="E49" s="53">
        <f t="shared" si="14"/>
        <v>-29139113.529240973</v>
      </c>
      <c r="F49" s="53">
        <f t="shared" si="14"/>
        <v>20557383.659274291</v>
      </c>
      <c r="G49" s="53">
        <f t="shared" si="14"/>
        <v>-1000540.3107059002</v>
      </c>
      <c r="H49" s="53">
        <f t="shared" si="14"/>
        <v>-27023238.806572676</v>
      </c>
      <c r="I49" s="858">
        <f t="shared" si="14"/>
        <v>52406954.009995006</v>
      </c>
      <c r="J49" s="858">
        <f t="shared" si="14"/>
        <v>-21325734.027748644</v>
      </c>
      <c r="K49" s="53">
        <f t="shared" si="14"/>
        <v>-4608844.2836874295</v>
      </c>
      <c r="L49" s="53">
        <f t="shared" si="14"/>
        <v>69387.278670666696</v>
      </c>
      <c r="M49" s="53">
        <f t="shared" si="14"/>
        <v>681065</v>
      </c>
      <c r="N49" s="53">
        <f t="shared" si="14"/>
        <v>-109903.18925372648</v>
      </c>
      <c r="O49" s="53">
        <f t="shared" si="14"/>
        <v>16141.122864383684</v>
      </c>
      <c r="P49" s="53">
        <f t="shared" si="14"/>
        <v>-176605.63064400846</v>
      </c>
      <c r="Q49" s="53">
        <f t="shared" si="14"/>
        <v>0</v>
      </c>
      <c r="R49" s="53">
        <f t="shared" si="14"/>
        <v>171199.77983333383</v>
      </c>
      <c r="S49" s="53">
        <f t="shared" si="14"/>
        <v>66147.120545911268</v>
      </c>
      <c r="T49" s="53">
        <f t="shared" si="14"/>
        <v>-1184945.4451730854</v>
      </c>
      <c r="U49" s="53">
        <f t="shared" si="14"/>
        <v>-1357715.5890578774</v>
      </c>
      <c r="V49" s="53">
        <f t="shared" si="14"/>
        <v>-96704.676397892646</v>
      </c>
      <c r="W49" s="53">
        <f t="shared" si="14"/>
        <v>-121750.92923393101</v>
      </c>
      <c r="X49" s="53">
        <f t="shared" si="14"/>
        <v>-552786.58200000005</v>
      </c>
      <c r="Y49" s="53">
        <f t="shared" si="14"/>
        <v>-2010221.1570587384</v>
      </c>
      <c r="Z49" s="53">
        <f t="shared" si="14"/>
        <v>434046.43987045588</v>
      </c>
      <c r="AA49" s="53">
        <f t="shared" si="14"/>
        <v>10262.31709798798</v>
      </c>
      <c r="AB49" s="53">
        <f t="shared" si="14"/>
        <v>0</v>
      </c>
      <c r="AC49" s="53">
        <f t="shared" si="14"/>
        <v>315757</v>
      </c>
      <c r="AD49" s="53">
        <f t="shared" si="14"/>
        <v>-2829371.8658719659</v>
      </c>
      <c r="AE49" s="53">
        <f t="shared" si="14"/>
        <v>61133.271335334284</v>
      </c>
      <c r="AF49" s="53">
        <f t="shared" si="14"/>
        <v>137890.37865459672</v>
      </c>
      <c r="AG49" s="53">
        <f t="shared" si="14"/>
        <v>-41672583.95949994</v>
      </c>
      <c r="AH49" s="53">
        <f t="shared" si="14"/>
        <v>-637694.32024999673</v>
      </c>
      <c r="AI49" s="53">
        <f t="shared" si="14"/>
        <v>1736211.9514499884</v>
      </c>
      <c r="AJ49" s="53">
        <f t="shared" si="14"/>
        <v>-145490.32262849354</v>
      </c>
      <c r="AK49" s="53">
        <f t="shared" si="14"/>
        <v>0</v>
      </c>
      <c r="AL49" s="53">
        <f t="shared" si="14"/>
        <v>2156.0948424596518</v>
      </c>
      <c r="AM49" s="53">
        <f t="shared" si="14"/>
        <v>0</v>
      </c>
      <c r="AN49" s="53">
        <f t="shared" si="14"/>
        <v>0</v>
      </c>
      <c r="AO49" s="53">
        <f t="shared" si="14"/>
        <v>-1571598.166666667</v>
      </c>
      <c r="AP49" s="53">
        <f t="shared" si="14"/>
        <v>34156.472365063768</v>
      </c>
      <c r="AQ49" s="858">
        <f t="shared" si="14"/>
        <v>-58864950.894892335</v>
      </c>
      <c r="AR49" s="858">
        <f t="shared" si="14"/>
        <v>342138020.80388665</v>
      </c>
      <c r="AS49" s="53">
        <f t="shared" si="14"/>
        <v>401002971.69877887</v>
      </c>
      <c r="AT49" s="858">
        <f t="shared" si="14"/>
        <v>-58864950.894892335</v>
      </c>
      <c r="AU49" s="858">
        <f t="shared" si="14"/>
        <v>342138020.80388689</v>
      </c>
      <c r="AV49" s="858">
        <f t="shared" si="14"/>
        <v>31943578.222033001</v>
      </c>
      <c r="AW49" s="858">
        <f t="shared" si="14"/>
        <v>374081599.02591968</v>
      </c>
      <c r="AX49" s="59"/>
      <c r="AY49" s="58"/>
      <c r="AZ49" s="57">
        <f>AZ21-AZ47</f>
        <v>57359250.608322002</v>
      </c>
      <c r="BA49" s="857">
        <f>BA21-BA47</f>
        <v>-25415672.386289001</v>
      </c>
      <c r="BC49" s="21"/>
      <c r="BD49" s="21"/>
      <c r="BE49" s="21"/>
      <c r="BF49" s="21"/>
      <c r="BG49" s="21"/>
      <c r="BH49" s="21"/>
      <c r="BI49" s="21"/>
      <c r="BJ49" s="21"/>
      <c r="BK49" s="21"/>
      <c r="BL49" s="21"/>
      <c r="BM49" s="21"/>
      <c r="BN49" s="21"/>
      <c r="BO49" s="21"/>
    </row>
    <row r="50" spans="1:67">
      <c r="A50" s="9">
        <f t="shared" si="0"/>
        <v>35</v>
      </c>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t="s">
        <v>15</v>
      </c>
      <c r="AV50" s="55"/>
      <c r="AW50" s="55" t="s">
        <v>15</v>
      </c>
      <c r="AX50" s="55"/>
      <c r="AY50" s="56"/>
      <c r="AZ50" s="55"/>
      <c r="BA50" s="55"/>
      <c r="BC50" s="21"/>
      <c r="BD50" s="21"/>
      <c r="BE50" s="21"/>
      <c r="BF50" s="21"/>
      <c r="BG50" s="21"/>
      <c r="BH50" s="21"/>
      <c r="BI50" s="21"/>
      <c r="BJ50" s="21"/>
      <c r="BK50" s="21"/>
      <c r="BL50" s="21"/>
      <c r="BM50" s="21"/>
      <c r="BN50" s="21"/>
      <c r="BO50" s="21"/>
    </row>
    <row r="51" spans="1:67" s="20" customFormat="1">
      <c r="A51" s="26">
        <f t="shared" si="0"/>
        <v>36</v>
      </c>
      <c r="B51" s="54" t="s">
        <v>18</v>
      </c>
      <c r="C51" s="54"/>
      <c r="D51" s="53">
        <f>D62</f>
        <v>5153204461.5858841</v>
      </c>
      <c r="E51" s="53">
        <v>0</v>
      </c>
      <c r="F51" s="39">
        <v>0</v>
      </c>
      <c r="G51" s="39">
        <v>0</v>
      </c>
      <c r="H51" s="39">
        <f>H62</f>
        <v>0</v>
      </c>
      <c r="I51" s="39">
        <v>0</v>
      </c>
      <c r="J51" s="858">
        <f>J62</f>
        <v>-10662867.013874311</v>
      </c>
      <c r="K51" s="53">
        <f>K62</f>
        <v>-127629534.00980572</v>
      </c>
      <c r="L51" s="53">
        <v>0</v>
      </c>
      <c r="M51" s="53">
        <v>0</v>
      </c>
      <c r="N51" s="53">
        <v>0</v>
      </c>
      <c r="O51" s="53">
        <f>'MCC-2r page 7-30'!BJ20</f>
        <v>0</v>
      </c>
      <c r="P51" s="53">
        <f>'MCC-2r page 7-30'!BK20</f>
        <v>0</v>
      </c>
      <c r="Q51" s="53">
        <v>0</v>
      </c>
      <c r="R51" s="53">
        <v>0</v>
      </c>
      <c r="S51" s="53">
        <v>0</v>
      </c>
      <c r="T51" s="53">
        <v>0</v>
      </c>
      <c r="U51" s="53">
        <v>0</v>
      </c>
      <c r="V51" s="53">
        <v>0</v>
      </c>
      <c r="W51" s="53">
        <v>0</v>
      </c>
      <c r="X51" s="53">
        <f>X62</f>
        <v>-552786.58200000005</v>
      </c>
      <c r="Y51" s="53">
        <v>0</v>
      </c>
      <c r="Z51" s="53">
        <f>Z62</f>
        <v>15915060.097866783</v>
      </c>
      <c r="AA51" s="53">
        <f>AA62</f>
        <v>0</v>
      </c>
      <c r="AB51" s="858">
        <f>AB62</f>
        <v>15990937.271673262</v>
      </c>
      <c r="AC51" s="53">
        <f>AC62</f>
        <v>0</v>
      </c>
      <c r="AD51" s="53">
        <v>0</v>
      </c>
      <c r="AE51" s="53">
        <v>0</v>
      </c>
      <c r="AF51" s="53">
        <f>'MCC-2r page 31-45'!O20</f>
        <v>-1969341.3363122563</v>
      </c>
      <c r="AG51" s="53">
        <v>0</v>
      </c>
      <c r="AH51" s="53">
        <f t="shared" ref="AH51:AO51" si="15">AH62</f>
        <v>-31639936.25</v>
      </c>
      <c r="AI51" s="53">
        <f t="shared" si="15"/>
        <v>-44085326.485419184</v>
      </c>
      <c r="AJ51" s="53">
        <f t="shared" si="15"/>
        <v>2842787.0613208562</v>
      </c>
      <c r="AK51" s="53">
        <f t="shared" si="15"/>
        <v>0</v>
      </c>
      <c r="AL51" s="53">
        <f t="shared" si="15"/>
        <v>18140954.4063752</v>
      </c>
      <c r="AM51" s="53">
        <f t="shared" si="15"/>
        <v>19004590.008907948</v>
      </c>
      <c r="AN51" s="53">
        <f t="shared" si="15"/>
        <v>-2464569.1828912995</v>
      </c>
      <c r="AO51" s="53">
        <f t="shared" si="15"/>
        <v>69639614.979849741</v>
      </c>
      <c r="AP51" s="53">
        <f>+'MCC-2r page 31-45'!BL96</f>
        <v>0</v>
      </c>
      <c r="AQ51" s="858">
        <f>AQ62</f>
        <v>-77470417.034308985</v>
      </c>
      <c r="AR51" s="858">
        <f>+AQ51+D51</f>
        <v>5075734044.5515747</v>
      </c>
      <c r="AS51" s="52">
        <f>D51</f>
        <v>5153204461.5858841</v>
      </c>
      <c r="AT51" s="860">
        <f>AQ51</f>
        <v>-77470417.034308985</v>
      </c>
      <c r="AU51" s="860">
        <f>AR51</f>
        <v>5075734044.5515747</v>
      </c>
      <c r="AV51" s="52">
        <v>0</v>
      </c>
      <c r="AW51" s="862">
        <f>SUM(AU51:AV51)</f>
        <v>5075734044.5515747</v>
      </c>
      <c r="AX51" s="51"/>
      <c r="AY51" s="16"/>
      <c r="AZ51" s="50"/>
      <c r="BA51" s="50"/>
      <c r="BC51" s="21"/>
      <c r="BD51" s="21"/>
      <c r="BE51" s="21"/>
      <c r="BF51" s="21"/>
      <c r="BG51" s="21"/>
      <c r="BH51" s="21"/>
      <c r="BI51" s="21"/>
      <c r="BJ51" s="21"/>
      <c r="BK51" s="21"/>
      <c r="BL51" s="21"/>
      <c r="BM51" s="21"/>
      <c r="BN51" s="21"/>
      <c r="BO51" s="21"/>
    </row>
    <row r="52" spans="1:67">
      <c r="A52" s="9">
        <f t="shared" si="0"/>
        <v>37</v>
      </c>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Z52" s="32"/>
      <c r="BA52" s="32"/>
      <c r="BC52" s="21"/>
      <c r="BD52" s="21"/>
      <c r="BE52" s="21"/>
      <c r="BF52" s="21"/>
      <c r="BG52" s="21"/>
      <c r="BH52" s="21"/>
      <c r="BI52" s="21"/>
      <c r="BJ52" s="21"/>
      <c r="BK52" s="21"/>
      <c r="BL52" s="21"/>
      <c r="BM52" s="21"/>
      <c r="BN52" s="21"/>
      <c r="BO52" s="21"/>
    </row>
    <row r="53" spans="1:67">
      <c r="A53" s="9">
        <f t="shared" si="0"/>
        <v>38</v>
      </c>
      <c r="B53" s="49" t="s">
        <v>17</v>
      </c>
      <c r="C53" s="49"/>
      <c r="D53" s="48">
        <f>D49/D51</f>
        <v>7.7816235448839796E-2</v>
      </c>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859">
        <f>AR49/AR51</f>
        <v>6.740660913294827E-2</v>
      </c>
      <c r="AS53" s="48">
        <f>AS49/AS51</f>
        <v>7.7816235448839796E-2</v>
      </c>
      <c r="AT53" s="36"/>
      <c r="AU53" s="859">
        <f>AU49/AU51</f>
        <v>6.7406609132948325E-2</v>
      </c>
      <c r="AV53" s="36"/>
      <c r="AW53" s="48">
        <f>AW49/AW51</f>
        <v>7.3699999988665402E-2</v>
      </c>
      <c r="AX53" s="47"/>
      <c r="AZ53" s="46"/>
      <c r="BA53" s="45"/>
      <c r="BC53" s="21"/>
      <c r="BD53" s="21"/>
      <c r="BE53" s="21"/>
      <c r="BF53" s="21"/>
      <c r="BG53" s="21"/>
      <c r="BH53" s="21"/>
      <c r="BI53" s="21"/>
      <c r="BJ53" s="21"/>
      <c r="BK53" s="21"/>
      <c r="BL53" s="21"/>
      <c r="BM53" s="21"/>
      <c r="BN53" s="21"/>
      <c r="BO53" s="21"/>
    </row>
    <row r="54" spans="1:67">
      <c r="A54" s="9">
        <f t="shared" si="0"/>
        <v>39</v>
      </c>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t="s">
        <v>15</v>
      </c>
      <c r="AW54" s="44"/>
      <c r="AZ54" s="32"/>
      <c r="BA54" s="32"/>
      <c r="BC54" s="21"/>
      <c r="BD54" s="21"/>
      <c r="BE54" s="21"/>
      <c r="BF54" s="21"/>
      <c r="BG54" s="21"/>
      <c r="BH54" s="21"/>
      <c r="BI54" s="21"/>
      <c r="BJ54" s="21"/>
      <c r="BK54" s="21"/>
      <c r="BL54" s="21"/>
      <c r="BM54" s="21"/>
      <c r="BN54" s="21"/>
      <c r="BO54" s="21"/>
    </row>
    <row r="55" spans="1:67">
      <c r="A55" s="9">
        <f t="shared" si="0"/>
        <v>40</v>
      </c>
      <c r="B55" s="3" t="s">
        <v>16</v>
      </c>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t="s">
        <v>15</v>
      </c>
      <c r="AW55" s="44"/>
      <c r="AZ55" s="32"/>
      <c r="BA55" s="32"/>
      <c r="BC55" s="21"/>
      <c r="BD55" s="21"/>
      <c r="BE55" s="21"/>
      <c r="BF55" s="21"/>
      <c r="BG55" s="21"/>
      <c r="BH55" s="21"/>
      <c r="BI55" s="21"/>
      <c r="BJ55" s="21"/>
      <c r="BK55" s="21"/>
      <c r="BL55" s="21"/>
      <c r="BM55" s="21"/>
      <c r="BN55" s="21"/>
      <c r="BO55" s="21"/>
    </row>
    <row r="56" spans="1:67">
      <c r="A56" s="9">
        <f t="shared" si="0"/>
        <v>41</v>
      </c>
      <c r="B56" s="40" t="s">
        <v>14</v>
      </c>
      <c r="C56" s="40"/>
      <c r="D56" s="43">
        <v>9760401506.5440865</v>
      </c>
      <c r="E56" s="43">
        <v>0</v>
      </c>
      <c r="F56" s="36">
        <v>0</v>
      </c>
      <c r="G56" s="36">
        <v>0</v>
      </c>
      <c r="H56" s="36">
        <v>0</v>
      </c>
      <c r="I56" s="36">
        <v>0</v>
      </c>
      <c r="J56" s="43">
        <v>0</v>
      </c>
      <c r="K56" s="43">
        <v>0</v>
      </c>
      <c r="L56" s="43">
        <v>0</v>
      </c>
      <c r="M56" s="43">
        <v>0</v>
      </c>
      <c r="N56" s="43">
        <v>0</v>
      </c>
      <c r="O56" s="43">
        <v>0</v>
      </c>
      <c r="P56" s="43">
        <v>0</v>
      </c>
      <c r="Q56" s="43">
        <v>0</v>
      </c>
      <c r="R56" s="43">
        <f>+R51</f>
        <v>0</v>
      </c>
      <c r="S56" s="43">
        <v>0</v>
      </c>
      <c r="T56" s="43">
        <v>0</v>
      </c>
      <c r="U56" s="43">
        <v>0</v>
      </c>
      <c r="V56" s="43">
        <v>0</v>
      </c>
      <c r="W56" s="43">
        <v>0</v>
      </c>
      <c r="X56" s="43">
        <v>0</v>
      </c>
      <c r="Y56" s="43">
        <v>0</v>
      </c>
      <c r="Z56" s="43">
        <f>'MCC-2r page 7-30'!DG15+'MCC-2r page 7-30'!DG16</f>
        <v>15741420.734608332</v>
      </c>
      <c r="AA56" s="43"/>
      <c r="AB56" s="867"/>
      <c r="AC56" s="43"/>
      <c r="AD56" s="43">
        <v>0</v>
      </c>
      <c r="AE56" s="43">
        <v>0</v>
      </c>
      <c r="AF56" s="43">
        <f>'MCC-2r page 31-45'!O15</f>
        <v>-4539303</v>
      </c>
      <c r="AG56" s="43">
        <v>0</v>
      </c>
      <c r="AH56" s="43">
        <v>0</v>
      </c>
      <c r="AI56" s="43"/>
      <c r="AJ56" s="43">
        <f>'MCC-2r page 31-45'!AI14</f>
        <v>5283142.6882666685</v>
      </c>
      <c r="AK56" s="43">
        <f>+'MCC-2r page 31-45'!AN15</f>
        <v>0</v>
      </c>
      <c r="AL56" s="43">
        <f>'MCC-2r page 31-45'!AS14+'MCC-2r page 31-45'!AS22</f>
        <v>-46656.627500012517</v>
      </c>
      <c r="AM56" s="43">
        <f>+'MCC-2r page 31-45'!AX15</f>
        <v>24765516.030000001</v>
      </c>
      <c r="AN56" s="43">
        <f>'MCC-2r page 31-45'!BC15+'MCC-2r page 31-45'!BC16</f>
        <v>45432.020000000004</v>
      </c>
      <c r="AO56" s="43"/>
      <c r="AP56" s="43">
        <f>AP51-AP59-AP58-AP57</f>
        <v>0</v>
      </c>
      <c r="AQ56" s="867">
        <f t="shared" ref="AQ56:AQ62" si="16">SUM(E56:AP56)</f>
        <v>41249551.845374994</v>
      </c>
      <c r="AR56" s="855">
        <f t="shared" ref="AR56:AR61" si="17">+AQ56+D56</f>
        <v>9801651058.3894615</v>
      </c>
      <c r="AS56" s="42">
        <f t="shared" ref="AS56:AS61" si="18">D56</f>
        <v>9760401506.5440865</v>
      </c>
      <c r="AT56" s="855">
        <f t="shared" ref="AT56:AT61" si="19">+AQ56</f>
        <v>41249551.845374994</v>
      </c>
      <c r="AU56" s="855">
        <f t="shared" ref="AU56:AU61" si="20">+AT56+AS56</f>
        <v>9801651058.3894615</v>
      </c>
      <c r="AV56" s="42"/>
      <c r="AW56" s="854">
        <f t="shared" ref="AW56:AW61" si="21">SUM(AU56:AV56)</f>
        <v>9801651058.3894615</v>
      </c>
      <c r="AX56" s="19"/>
      <c r="AZ56" s="41"/>
      <c r="BA56" s="41"/>
      <c r="BC56" s="21"/>
      <c r="BD56" s="21"/>
      <c r="BE56" s="21"/>
      <c r="BF56" s="21"/>
      <c r="BG56" s="21"/>
      <c r="BH56" s="21"/>
      <c r="BI56" s="21"/>
      <c r="BJ56" s="21"/>
      <c r="BK56" s="21"/>
      <c r="BL56" s="21"/>
      <c r="BM56" s="21"/>
      <c r="BN56" s="21"/>
      <c r="BO56" s="21"/>
    </row>
    <row r="57" spans="1:67">
      <c r="A57" s="9">
        <f t="shared" si="0"/>
        <v>42</v>
      </c>
      <c r="B57" s="40" t="s">
        <v>13</v>
      </c>
      <c r="C57" s="40"/>
      <c r="D57" s="35">
        <v>-3743804806.4787149</v>
      </c>
      <c r="E57" s="36"/>
      <c r="F57" s="36"/>
      <c r="G57" s="36"/>
      <c r="H57" s="36"/>
      <c r="I57" s="36"/>
      <c r="J57" s="855">
        <f>+'MCC-2r page 7-30'!AD39</f>
        <v>-16404410.790575877</v>
      </c>
      <c r="K57" s="36">
        <f>'MCC-2r page 7-30'!AI18</f>
        <v>-127629534.00980572</v>
      </c>
      <c r="L57" s="36"/>
      <c r="M57" s="36"/>
      <c r="N57" s="36"/>
      <c r="O57" s="36"/>
      <c r="P57" s="36"/>
      <c r="Q57" s="36"/>
      <c r="R57" s="36"/>
      <c r="S57" s="36"/>
      <c r="T57" s="36"/>
      <c r="U57" s="36"/>
      <c r="V57" s="36"/>
      <c r="W57" s="36"/>
      <c r="X57" s="36"/>
      <c r="Y57" s="36"/>
      <c r="Z57" s="36">
        <f>'MCC-2r page 7-30'!DG17+'MCC-2r page 7-30'!DG19+'MCC-2r page 7-30'!DG18</f>
        <v>-101363.37640134411</v>
      </c>
      <c r="AA57" s="36"/>
      <c r="AB57" s="36"/>
      <c r="AC57" s="36"/>
      <c r="AD57" s="36"/>
      <c r="AE57" s="36"/>
      <c r="AF57" s="36">
        <f>'MCC-2r page 31-45'!O16+'MCC-2r page 31-45'!O17</f>
        <v>1590015.6893272984</v>
      </c>
      <c r="AG57" s="36"/>
      <c r="AH57" s="36"/>
      <c r="AI57" s="36"/>
      <c r="AJ57" s="36">
        <f>'MCC-2r page 31-45'!AI15+'MCC-2r page 31-45'!AI16</f>
        <v>-723725.33830972295</v>
      </c>
      <c r="AK57" s="36">
        <f>+'MCC-2r page 31-45'!AN16</f>
        <v>0</v>
      </c>
      <c r="AL57" s="36">
        <f>'MCC-2r page 31-45'!AS15+'MCC-2r page 31-45'!AS16+'MCC-2r page 31-45'!AS23+'MCC-2r page 31-45'!AS24</f>
        <v>21111912.982080221</v>
      </c>
      <c r="AM57" s="36">
        <f>+'MCC-2r page 31-45'!AX16</f>
        <v>-1572187.2608600797</v>
      </c>
      <c r="AN57" s="36"/>
      <c r="AO57" s="36"/>
      <c r="AP57" s="36">
        <f>+'MCC-2r page 31-45'!BL56+'MCC-2r page 31-45'!BL58+'MCC-2r page 31-45'!BL62</f>
        <v>0</v>
      </c>
      <c r="AQ57" s="866">
        <f t="shared" si="16"/>
        <v>-123729292.10454524</v>
      </c>
      <c r="AR57" s="855">
        <f t="shared" si="17"/>
        <v>-3867534098.5832601</v>
      </c>
      <c r="AS57" s="36">
        <f t="shared" si="18"/>
        <v>-3743804806.4787149</v>
      </c>
      <c r="AT57" s="855">
        <f t="shared" si="19"/>
        <v>-123729292.10454524</v>
      </c>
      <c r="AU57" s="855">
        <f t="shared" si="20"/>
        <v>-3867534098.5832601</v>
      </c>
      <c r="AV57" s="36"/>
      <c r="AW57" s="855">
        <f t="shared" si="21"/>
        <v>-3867534098.5832601</v>
      </c>
      <c r="AX57" s="19"/>
      <c r="AZ57" s="35"/>
      <c r="BA57" s="35"/>
      <c r="BC57" s="21"/>
      <c r="BD57" s="21"/>
      <c r="BE57" s="21"/>
      <c r="BF57" s="21"/>
      <c r="BG57" s="21"/>
      <c r="BH57" s="21"/>
      <c r="BI57" s="21"/>
      <c r="BJ57" s="21"/>
      <c r="BK57" s="21"/>
      <c r="BL57" s="21"/>
      <c r="BM57" s="21"/>
      <c r="BN57" s="21"/>
      <c r="BO57" s="21"/>
    </row>
    <row r="58" spans="1:67">
      <c r="A58" s="9">
        <f t="shared" si="0"/>
        <v>43</v>
      </c>
      <c r="B58" s="3" t="s">
        <v>12</v>
      </c>
      <c r="D58" s="35">
        <v>253258620.21125004</v>
      </c>
      <c r="E58" s="36"/>
      <c r="F58" s="36"/>
      <c r="G58" s="36"/>
      <c r="H58" s="36"/>
      <c r="I58" s="36"/>
      <c r="J58" s="36"/>
      <c r="K58" s="36"/>
      <c r="L58" s="36"/>
      <c r="M58" s="36"/>
      <c r="N58" s="36"/>
      <c r="O58" s="36"/>
      <c r="P58" s="36"/>
      <c r="Q58" s="36"/>
      <c r="R58" s="36"/>
      <c r="S58" s="36"/>
      <c r="T58" s="36"/>
      <c r="U58" s="36"/>
      <c r="V58" s="36"/>
      <c r="W58" s="36"/>
      <c r="X58" s="36"/>
      <c r="Y58" s="36"/>
      <c r="Z58" s="36"/>
      <c r="AA58" s="36"/>
      <c r="AB58" s="39"/>
      <c r="AC58" s="39"/>
      <c r="AD58" s="36"/>
      <c r="AE58" s="36"/>
      <c r="AF58" s="36"/>
      <c r="AG58" s="36"/>
      <c r="AH58" s="36"/>
      <c r="AI58" s="36">
        <v>-58945766.064063393</v>
      </c>
      <c r="AJ58" s="36"/>
      <c r="AK58" s="36"/>
      <c r="AL58" s="36"/>
      <c r="AM58" s="36"/>
      <c r="AN58" s="39">
        <f>'MCC-2r page 31-45'!BC14+'MCC-2r page 31-45'!BC18</f>
        <v>-3861540.5625764728</v>
      </c>
      <c r="AO58" s="36">
        <f>+'MCC-2r page 31-45'!BH14</f>
        <v>69639614.979849741</v>
      </c>
      <c r="AP58" s="39">
        <v>0</v>
      </c>
      <c r="AQ58" s="37">
        <f t="shared" si="16"/>
        <v>6832308.3532098755</v>
      </c>
      <c r="AR58" s="36">
        <f t="shared" si="17"/>
        <v>260090928.56445992</v>
      </c>
      <c r="AS58" s="36">
        <f t="shared" si="18"/>
        <v>253258620.21125004</v>
      </c>
      <c r="AT58" s="36">
        <f t="shared" si="19"/>
        <v>6832308.3532098755</v>
      </c>
      <c r="AU58" s="36">
        <f t="shared" si="20"/>
        <v>260090928.56445992</v>
      </c>
      <c r="AV58" s="36"/>
      <c r="AW58" s="36">
        <f t="shared" si="21"/>
        <v>260090928.56445992</v>
      </c>
      <c r="AX58" s="19"/>
      <c r="AZ58" s="38"/>
      <c r="BA58" s="38"/>
      <c r="BC58" s="21"/>
      <c r="BD58" s="21"/>
      <c r="BE58" s="21"/>
      <c r="BF58" s="21"/>
      <c r="BG58" s="21"/>
      <c r="BH58" s="21"/>
      <c r="BI58" s="21"/>
      <c r="BJ58" s="21"/>
      <c r="BK58" s="21"/>
      <c r="BL58" s="21"/>
      <c r="BM58" s="21"/>
      <c r="BN58" s="21"/>
      <c r="BO58" s="21"/>
    </row>
    <row r="59" spans="1:67">
      <c r="A59" s="9">
        <f t="shared" si="0"/>
        <v>44</v>
      </c>
      <c r="B59" s="3" t="s">
        <v>11</v>
      </c>
      <c r="D59" s="35">
        <v>-1263932467.6059232</v>
      </c>
      <c r="E59" s="36"/>
      <c r="F59" s="36"/>
      <c r="G59" s="36"/>
      <c r="H59" s="36">
        <f>'MCC-2r page 7-30'!U35</f>
        <v>0</v>
      </c>
      <c r="I59" s="36"/>
      <c r="J59" s="855">
        <f>'MCC-2r page 7-30'!AD40+'MCC-2r page 7-30'!AD41</f>
        <v>5741543.7767015649</v>
      </c>
      <c r="K59" s="36"/>
      <c r="L59" s="36"/>
      <c r="M59" s="36"/>
      <c r="N59" s="36"/>
      <c r="O59" s="36"/>
      <c r="P59" s="36"/>
      <c r="Q59" s="36"/>
      <c r="R59" s="36"/>
      <c r="S59" s="36"/>
      <c r="T59" s="36"/>
      <c r="U59" s="36"/>
      <c r="V59" s="36"/>
      <c r="W59" s="36"/>
      <c r="X59" s="36"/>
      <c r="Y59" s="36"/>
      <c r="Z59" s="36">
        <f>'MCC-2r page 7-30'!DG20+'MCC-2r page 7-30'!DG21</f>
        <v>275002.73965979565</v>
      </c>
      <c r="AA59" s="36"/>
      <c r="AB59" s="36"/>
      <c r="AC59" s="36"/>
      <c r="AD59" s="36"/>
      <c r="AE59" s="36"/>
      <c r="AF59" s="36">
        <f>'MCC-2r page 31-45'!O18+'MCC-2r page 31-45'!O19</f>
        <v>979945.97436044563</v>
      </c>
      <c r="AG59" s="36"/>
      <c r="AH59" s="36">
        <f>'MCC-2r page 31-45'!W39</f>
        <v>17036888.75</v>
      </c>
      <c r="AI59" s="36">
        <v>14860439.578644209</v>
      </c>
      <c r="AJ59" s="36">
        <f>'MCC-2r page 31-45'!AI17+'MCC-2r page 31-45'!AI18</f>
        <v>-1716630.2886360891</v>
      </c>
      <c r="AK59" s="36">
        <f>+'MCC-2r page 31-45'!AN17</f>
        <v>0</v>
      </c>
      <c r="AL59" s="36">
        <f>'MCC-2r page 31-45'!AS17+'MCC-2r page 31-45'!AS18+'MCC-2r page 31-45'!AS25+'MCC-2r page 31-45'!AS26</f>
        <v>-2924301.9482050105</v>
      </c>
      <c r="AM59" s="36">
        <f>+'MCC-2r page 31-45'!AX17</f>
        <v>-4188738.7602319769</v>
      </c>
      <c r="AN59" s="39">
        <f>'MCC-2r page 31-45'!BC19</f>
        <v>1351539.3596851733</v>
      </c>
      <c r="AO59" s="36"/>
      <c r="AP59" s="36">
        <v>0</v>
      </c>
      <c r="AQ59" s="866">
        <f t="shared" si="16"/>
        <v>31415689.181978114</v>
      </c>
      <c r="AR59" s="855">
        <f t="shared" si="17"/>
        <v>-1232516778.423945</v>
      </c>
      <c r="AS59" s="36">
        <f t="shared" si="18"/>
        <v>-1263932467.6059232</v>
      </c>
      <c r="AT59" s="855">
        <f t="shared" si="19"/>
        <v>31415689.181978114</v>
      </c>
      <c r="AU59" s="855">
        <f t="shared" si="20"/>
        <v>-1232516778.423945</v>
      </c>
      <c r="AV59" s="36"/>
      <c r="AW59" s="855">
        <f t="shared" si="21"/>
        <v>-1232516778.423945</v>
      </c>
      <c r="AX59" s="19"/>
      <c r="AZ59" s="38"/>
      <c r="BA59" s="38"/>
      <c r="BC59" s="21"/>
      <c r="BD59" s="21"/>
      <c r="BE59" s="21"/>
      <c r="BF59" s="21"/>
      <c r="BG59" s="21"/>
      <c r="BH59" s="21"/>
      <c r="BI59" s="21"/>
      <c r="BJ59" s="21"/>
      <c r="BK59" s="21"/>
      <c r="BL59" s="21"/>
      <c r="BM59" s="21"/>
      <c r="BN59" s="21"/>
      <c r="BO59" s="21"/>
    </row>
    <row r="60" spans="1:67">
      <c r="A60" s="9">
        <f t="shared" si="0"/>
        <v>45</v>
      </c>
      <c r="B60" s="3" t="s">
        <v>10</v>
      </c>
      <c r="D60" s="35">
        <v>227005241.70228952</v>
      </c>
      <c r="E60" s="36"/>
      <c r="F60" s="36"/>
      <c r="G60" s="36"/>
      <c r="H60" s="36"/>
      <c r="I60" s="36"/>
      <c r="J60" s="36"/>
      <c r="K60" s="36"/>
      <c r="L60" s="36"/>
      <c r="M60" s="36"/>
      <c r="N60" s="36"/>
      <c r="O60" s="36">
        <f>'MCC-2r page 7-30'!BJ20</f>
        <v>0</v>
      </c>
      <c r="P60" s="36">
        <f>'MCC-2r page 7-30'!BK20</f>
        <v>0</v>
      </c>
      <c r="Q60" s="36"/>
      <c r="R60" s="36"/>
      <c r="S60" s="36"/>
      <c r="T60" s="36"/>
      <c r="U60" s="36"/>
      <c r="V60" s="36"/>
      <c r="W60" s="36"/>
      <c r="X60" s="36">
        <f>X49</f>
        <v>-552786.58200000005</v>
      </c>
      <c r="Y60" s="36"/>
      <c r="Z60" s="36"/>
      <c r="AA60" s="36"/>
      <c r="AB60" s="855">
        <f>'EXHIBIT MCC-5r'!D39</f>
        <v>15990937.271673262</v>
      </c>
      <c r="AC60" s="36"/>
      <c r="AD60" s="36"/>
      <c r="AE60" s="36"/>
      <c r="AF60" s="36"/>
      <c r="AG60" s="36"/>
      <c r="AH60" s="36">
        <f>'MCC-2r page 31-45'!W38</f>
        <v>-48676825</v>
      </c>
      <c r="AI60" s="36"/>
      <c r="AJ60" s="36"/>
      <c r="AK60" s="36"/>
      <c r="AL60" s="36"/>
      <c r="AM60" s="36"/>
      <c r="AN60" s="36"/>
      <c r="AO60" s="36"/>
      <c r="AP60" s="36"/>
      <c r="AQ60" s="866">
        <f t="shared" si="16"/>
        <v>-33238674.31032674</v>
      </c>
      <c r="AR60" s="855">
        <f t="shared" si="17"/>
        <v>193766567.39196277</v>
      </c>
      <c r="AS60" s="36">
        <f t="shared" si="18"/>
        <v>227005241.70228952</v>
      </c>
      <c r="AT60" s="855">
        <f t="shared" si="19"/>
        <v>-33238674.31032674</v>
      </c>
      <c r="AU60" s="855">
        <f t="shared" si="20"/>
        <v>193766567.39196277</v>
      </c>
      <c r="AV60" s="36"/>
      <c r="AW60" s="855">
        <f t="shared" si="21"/>
        <v>193766567.39196277</v>
      </c>
      <c r="AX60" s="19"/>
      <c r="AZ60" s="35"/>
      <c r="BA60" s="35"/>
      <c r="BC60" s="21"/>
      <c r="BD60" s="21"/>
      <c r="BE60" s="21"/>
      <c r="BF60" s="21"/>
      <c r="BG60" s="21"/>
      <c r="BH60" s="21"/>
      <c r="BI60" s="21"/>
      <c r="BJ60" s="21"/>
      <c r="BK60" s="21"/>
      <c r="BL60" s="21"/>
      <c r="BM60" s="21"/>
      <c r="BN60" s="21"/>
      <c r="BO60" s="21"/>
    </row>
    <row r="61" spans="1:67">
      <c r="A61" s="9">
        <f t="shared" si="0"/>
        <v>46</v>
      </c>
      <c r="B61" s="3" t="s">
        <v>9</v>
      </c>
      <c r="D61" s="35">
        <v>-79723632.787103415</v>
      </c>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7">
        <f t="shared" si="16"/>
        <v>0</v>
      </c>
      <c r="AR61" s="36">
        <f t="shared" si="17"/>
        <v>-79723632.787103415</v>
      </c>
      <c r="AS61" s="36">
        <f t="shared" si="18"/>
        <v>-79723632.787103415</v>
      </c>
      <c r="AT61" s="36">
        <f t="shared" si="19"/>
        <v>0</v>
      </c>
      <c r="AU61" s="36">
        <f t="shared" si="20"/>
        <v>-79723632.787103415</v>
      </c>
      <c r="AV61" s="36"/>
      <c r="AW61" s="36">
        <f t="shared" si="21"/>
        <v>-79723632.787103415</v>
      </c>
      <c r="AX61" s="19"/>
      <c r="AZ61" s="35"/>
      <c r="BA61" s="35"/>
      <c r="BC61" s="21"/>
      <c r="BD61" s="21"/>
      <c r="BE61" s="21"/>
      <c r="BF61" s="21"/>
      <c r="BG61" s="21"/>
      <c r="BH61" s="21"/>
      <c r="BI61" s="21"/>
      <c r="BJ61" s="21"/>
      <c r="BK61" s="21"/>
      <c r="BL61" s="21"/>
      <c r="BM61" s="21"/>
      <c r="BN61" s="21"/>
      <c r="BO61" s="21"/>
    </row>
    <row r="62" spans="1:67" ht="32.25" customHeight="1" thickBot="1">
      <c r="A62" s="9">
        <f t="shared" si="0"/>
        <v>47</v>
      </c>
      <c r="B62" s="3" t="s">
        <v>8</v>
      </c>
      <c r="D62" s="33">
        <f t="shared" ref="D62:AP62" si="22">SUM(D56:D61)</f>
        <v>5153204461.5858841</v>
      </c>
      <c r="E62" s="33">
        <f t="shared" si="22"/>
        <v>0</v>
      </c>
      <c r="F62" s="33">
        <f t="shared" si="22"/>
        <v>0</v>
      </c>
      <c r="G62" s="33">
        <f t="shared" si="22"/>
        <v>0</v>
      </c>
      <c r="H62" s="33">
        <f t="shared" si="22"/>
        <v>0</v>
      </c>
      <c r="I62" s="33">
        <f t="shared" si="22"/>
        <v>0</v>
      </c>
      <c r="J62" s="865">
        <f t="shared" si="22"/>
        <v>-10662867.013874311</v>
      </c>
      <c r="K62" s="33">
        <f t="shared" si="22"/>
        <v>-127629534.00980572</v>
      </c>
      <c r="L62" s="33">
        <f t="shared" si="22"/>
        <v>0</v>
      </c>
      <c r="M62" s="33">
        <f t="shared" si="22"/>
        <v>0</v>
      </c>
      <c r="N62" s="33">
        <f t="shared" si="22"/>
        <v>0</v>
      </c>
      <c r="O62" s="33">
        <f t="shared" si="22"/>
        <v>0</v>
      </c>
      <c r="P62" s="33">
        <f t="shared" si="22"/>
        <v>0</v>
      </c>
      <c r="Q62" s="33">
        <f t="shared" si="22"/>
        <v>0</v>
      </c>
      <c r="R62" s="33">
        <f t="shared" si="22"/>
        <v>0</v>
      </c>
      <c r="S62" s="33">
        <f t="shared" si="22"/>
        <v>0</v>
      </c>
      <c r="T62" s="33">
        <f t="shared" si="22"/>
        <v>0</v>
      </c>
      <c r="U62" s="33">
        <f t="shared" si="22"/>
        <v>0</v>
      </c>
      <c r="V62" s="33">
        <f t="shared" si="22"/>
        <v>0</v>
      </c>
      <c r="W62" s="33">
        <f t="shared" si="22"/>
        <v>0</v>
      </c>
      <c r="X62" s="33">
        <f t="shared" si="22"/>
        <v>-552786.58200000005</v>
      </c>
      <c r="Y62" s="33">
        <f t="shared" si="22"/>
        <v>0</v>
      </c>
      <c r="Z62" s="33">
        <f t="shared" si="22"/>
        <v>15915060.097866783</v>
      </c>
      <c r="AA62" s="33">
        <f t="shared" si="22"/>
        <v>0</v>
      </c>
      <c r="AB62" s="863">
        <f t="shared" si="22"/>
        <v>15990937.271673262</v>
      </c>
      <c r="AC62" s="34">
        <f t="shared" si="22"/>
        <v>0</v>
      </c>
      <c r="AD62" s="33">
        <f t="shared" si="22"/>
        <v>0</v>
      </c>
      <c r="AE62" s="33">
        <f t="shared" si="22"/>
        <v>0</v>
      </c>
      <c r="AF62" s="33">
        <f t="shared" si="22"/>
        <v>-1969341.3363122558</v>
      </c>
      <c r="AG62" s="33">
        <f t="shared" si="22"/>
        <v>0</v>
      </c>
      <c r="AH62" s="33">
        <f t="shared" si="22"/>
        <v>-31639936.25</v>
      </c>
      <c r="AI62" s="33">
        <f t="shared" si="22"/>
        <v>-44085326.485419184</v>
      </c>
      <c r="AJ62" s="33">
        <f t="shared" si="22"/>
        <v>2842787.0613208562</v>
      </c>
      <c r="AK62" s="33">
        <f t="shared" si="22"/>
        <v>0</v>
      </c>
      <c r="AL62" s="33">
        <f t="shared" si="22"/>
        <v>18140954.4063752</v>
      </c>
      <c r="AM62" s="33">
        <f t="shared" si="22"/>
        <v>19004590.008907948</v>
      </c>
      <c r="AN62" s="34">
        <f t="shared" si="22"/>
        <v>-2464569.1828912995</v>
      </c>
      <c r="AO62" s="33">
        <f t="shared" si="22"/>
        <v>69639614.979849741</v>
      </c>
      <c r="AP62" s="34">
        <f t="shared" si="22"/>
        <v>0</v>
      </c>
      <c r="AQ62" s="865">
        <f t="shared" si="16"/>
        <v>-77470417.034308985</v>
      </c>
      <c r="AR62" s="863">
        <f>SUM(AR56:AR61)</f>
        <v>5075734044.5515757</v>
      </c>
      <c r="AS62" s="33">
        <f>SUM(AS56:AS61)</f>
        <v>5153204461.5858841</v>
      </c>
      <c r="AT62" s="863">
        <f>SUM(AT56:AT61)</f>
        <v>-77470417.03430897</v>
      </c>
      <c r="AU62" s="863">
        <f>SUM(AU56:AU61)</f>
        <v>5075734044.5515757</v>
      </c>
      <c r="AV62" s="32"/>
      <c r="AW62" s="863">
        <f>SUM(AW56:AW61)</f>
        <v>5075734044.5515757</v>
      </c>
      <c r="AX62" s="19"/>
      <c r="AZ62" s="31"/>
      <c r="BA62" s="31"/>
      <c r="BC62" s="21"/>
      <c r="BD62" s="21"/>
      <c r="BE62" s="21"/>
      <c r="BF62" s="21"/>
      <c r="BG62" s="21"/>
      <c r="BH62" s="21"/>
      <c r="BI62" s="21"/>
      <c r="BJ62" s="21"/>
      <c r="BK62" s="21"/>
      <c r="BL62" s="21"/>
      <c r="BM62" s="21"/>
      <c r="BN62" s="21"/>
      <c r="BO62" s="21"/>
    </row>
    <row r="63" spans="1:67" ht="20.25" customHeight="1" thickTop="1">
      <c r="A63" s="9">
        <v>48</v>
      </c>
      <c r="B63" s="25" t="s">
        <v>7</v>
      </c>
      <c r="C63" s="30">
        <f>'EXHIBIT MCC-3r'!K16</f>
        <v>7.3700000000000002E-2</v>
      </c>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6"/>
      <c r="AR63" s="2"/>
      <c r="AS63" s="29"/>
      <c r="AT63" s="2"/>
      <c r="AU63" s="2"/>
      <c r="AW63" s="28"/>
      <c r="AX63" s="28"/>
      <c r="AZ63" s="22"/>
      <c r="BA63" s="22"/>
      <c r="BC63" s="21"/>
      <c r="BD63" s="21"/>
      <c r="BE63" s="21"/>
      <c r="BF63" s="21"/>
      <c r="BG63" s="21"/>
      <c r="BH63" s="21"/>
      <c r="BI63" s="21"/>
      <c r="BJ63" s="21"/>
      <c r="BK63" s="21"/>
      <c r="BL63" s="21"/>
      <c r="BM63" s="21"/>
      <c r="BN63" s="21"/>
      <c r="BO63" s="21"/>
    </row>
    <row r="64" spans="1:67" ht="20.25" customHeight="1">
      <c r="A64" s="9">
        <v>49</v>
      </c>
      <c r="B64" s="25" t="s">
        <v>6</v>
      </c>
      <c r="C64" s="30">
        <f>'EXHIBIT MCC-3r'!P21</f>
        <v>0.61905100000000002</v>
      </c>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9"/>
      <c r="AT64" s="2"/>
      <c r="AU64" s="2"/>
      <c r="AW64" s="28"/>
      <c r="AX64" s="28"/>
      <c r="AZ64" s="27"/>
      <c r="BA64" s="27"/>
      <c r="BC64" s="21"/>
      <c r="BD64" s="21"/>
      <c r="BE64" s="21"/>
      <c r="BF64" s="21"/>
      <c r="BG64" s="21"/>
      <c r="BH64" s="21"/>
      <c r="BI64" s="21"/>
      <c r="BJ64" s="21"/>
      <c r="BK64" s="21"/>
      <c r="BL64" s="21"/>
      <c r="BM64" s="21"/>
      <c r="BN64" s="21"/>
      <c r="BO64" s="21"/>
    </row>
    <row r="65" spans="1:67" s="20" customFormat="1" ht="20.25" customHeight="1">
      <c r="A65" s="26">
        <v>50</v>
      </c>
      <c r="B65" s="25" t="s">
        <v>5</v>
      </c>
      <c r="C65" s="16"/>
      <c r="D65" s="24">
        <f t="shared" ref="D65:AT65" si="23">D70/$C$64</f>
        <v>-34265032.896965198</v>
      </c>
      <c r="E65" s="24">
        <f t="shared" si="23"/>
        <v>47070618.623087555</v>
      </c>
      <c r="F65" s="24">
        <f t="shared" si="23"/>
        <v>-33207899.929528084</v>
      </c>
      <c r="G65" s="24">
        <f t="shared" si="23"/>
        <v>1616248.5977825739</v>
      </c>
      <c r="H65" s="24">
        <f t="shared" si="23"/>
        <v>43652685.815179482</v>
      </c>
      <c r="I65" s="858">
        <f t="shared" si="23"/>
        <v>-84656924.889863685</v>
      </c>
      <c r="J65" s="858">
        <f t="shared" si="23"/>
        <v>33179626.119376447</v>
      </c>
      <c r="K65" s="24">
        <f t="shared" si="23"/>
        <v>-7749688.4308970543</v>
      </c>
      <c r="L65" s="24">
        <f t="shared" si="23"/>
        <v>-112086.53030310378</v>
      </c>
      <c r="M65" s="24">
        <f t="shared" si="23"/>
        <v>-1100175.914423852</v>
      </c>
      <c r="N65" s="24">
        <f t="shared" si="23"/>
        <v>177534.95148820771</v>
      </c>
      <c r="O65" s="24">
        <f t="shared" si="23"/>
        <v>-26073.979146118305</v>
      </c>
      <c r="P65" s="24">
        <f t="shared" si="23"/>
        <v>285284.46064057475</v>
      </c>
      <c r="Q65" s="24">
        <f t="shared" si="23"/>
        <v>0</v>
      </c>
      <c r="R65" s="24">
        <f t="shared" si="23"/>
        <v>-276551.98010072485</v>
      </c>
      <c r="S65" s="24">
        <f t="shared" si="23"/>
        <v>-106852.45730305139</v>
      </c>
      <c r="T65" s="24">
        <f t="shared" si="23"/>
        <v>1914132.1880961107</v>
      </c>
      <c r="U65" s="24">
        <f t="shared" si="23"/>
        <v>2193220.8962716763</v>
      </c>
      <c r="V65" s="24">
        <f t="shared" si="23"/>
        <v>156214.39331798616</v>
      </c>
      <c r="W65" s="24">
        <f t="shared" si="23"/>
        <v>196673.5038533675</v>
      </c>
      <c r="X65" s="24">
        <f t="shared" si="23"/>
        <v>827147.05396905914</v>
      </c>
      <c r="Y65" s="24">
        <f t="shared" si="23"/>
        <v>3247262.5955837863</v>
      </c>
      <c r="Z65" s="24">
        <f t="shared" si="23"/>
        <v>1193590.6562501732</v>
      </c>
      <c r="AA65" s="24">
        <f t="shared" si="23"/>
        <v>-16577.498619641967</v>
      </c>
      <c r="AB65" s="858">
        <f t="shared" si="23"/>
        <v>1903772.1882725644</v>
      </c>
      <c r="AC65" s="24">
        <f t="shared" si="23"/>
        <v>-510066.2142537529</v>
      </c>
      <c r="AD65" s="24">
        <f t="shared" si="23"/>
        <v>4570498.821376536</v>
      </c>
      <c r="AE65" s="24">
        <f t="shared" si="23"/>
        <v>-98753.206658795942</v>
      </c>
      <c r="AF65" s="24">
        <f t="shared" si="23"/>
        <v>-457201.15974420524</v>
      </c>
      <c r="AG65" s="24">
        <f t="shared" si="23"/>
        <v>67316883.357752338</v>
      </c>
      <c r="AH65" s="24">
        <f t="shared" si="23"/>
        <v>-2736719.5616758605</v>
      </c>
      <c r="AI65" s="24">
        <f t="shared" si="23"/>
        <v>-8053133.7699565655</v>
      </c>
      <c r="AJ65" s="24">
        <f t="shared" si="23"/>
        <v>573464.43031000777</v>
      </c>
      <c r="AK65" s="24">
        <f t="shared" si="23"/>
        <v>0</v>
      </c>
      <c r="AL65" s="24">
        <f t="shared" si="23"/>
        <v>2156255.6960692941</v>
      </c>
      <c r="AM65" s="24">
        <f t="shared" si="23"/>
        <v>2262557.1780943992</v>
      </c>
      <c r="AN65" s="24">
        <f t="shared" si="23"/>
        <v>-293414.83783902903</v>
      </c>
      <c r="AO65" s="24">
        <f t="shared" si="23"/>
        <v>10829540.362072904</v>
      </c>
      <c r="AP65" s="24">
        <f t="shared" si="23"/>
        <v>-55175.53863100741</v>
      </c>
      <c r="AQ65" s="858">
        <f t="shared" si="23"/>
        <v>85865915.989900291</v>
      </c>
      <c r="AR65" s="858">
        <f t="shared" si="23"/>
        <v>51600883.092934988</v>
      </c>
      <c r="AS65" s="24">
        <f t="shared" si="23"/>
        <v>-34265032.896965198</v>
      </c>
      <c r="AT65" s="858">
        <f t="shared" si="23"/>
        <v>85865915.989900291</v>
      </c>
      <c r="AU65" s="864">
        <f>SUM(D65:AP65)</f>
        <v>51600883.092935309</v>
      </c>
      <c r="AV65" s="858">
        <f>AV70/$C$64</f>
        <v>-51600883</v>
      </c>
      <c r="AW65" s="24">
        <f>AW70/$C$64</f>
        <v>9.293495369656618E-2</v>
      </c>
      <c r="AX65" s="23"/>
      <c r="AY65" s="16"/>
      <c r="AZ65" s="22"/>
      <c r="BA65" s="22"/>
      <c r="BC65" s="21"/>
      <c r="BD65" s="21"/>
      <c r="BE65" s="21"/>
      <c r="BF65" s="21"/>
      <c r="BG65" s="21"/>
      <c r="BH65" s="21"/>
      <c r="BI65" s="21"/>
      <c r="BJ65" s="21"/>
      <c r="BK65" s="21"/>
      <c r="BL65" s="21"/>
      <c r="BM65" s="21"/>
      <c r="BN65" s="21"/>
      <c r="BO65" s="21"/>
    </row>
    <row r="66" spans="1:67">
      <c r="A66" s="9">
        <f>A65+1</f>
        <v>51</v>
      </c>
      <c r="B66" s="20"/>
      <c r="C66" s="1"/>
      <c r="D66" s="19" t="str">
        <f t="shared" ref="D66:AQ66" si="24">IF(D62=D51,"OK","ERROR")</f>
        <v>OK</v>
      </c>
      <c r="E66" s="19" t="str">
        <f t="shared" si="24"/>
        <v>OK</v>
      </c>
      <c r="F66" s="19" t="str">
        <f t="shared" si="24"/>
        <v>OK</v>
      </c>
      <c r="G66" s="19" t="str">
        <f t="shared" si="24"/>
        <v>OK</v>
      </c>
      <c r="H66" s="19" t="str">
        <f t="shared" si="24"/>
        <v>OK</v>
      </c>
      <c r="I66" s="19" t="str">
        <f t="shared" si="24"/>
        <v>OK</v>
      </c>
      <c r="J66" s="19" t="str">
        <f t="shared" si="24"/>
        <v>OK</v>
      </c>
      <c r="K66" s="19" t="str">
        <f t="shared" si="24"/>
        <v>OK</v>
      </c>
      <c r="L66" s="19" t="str">
        <f t="shared" si="24"/>
        <v>OK</v>
      </c>
      <c r="M66" s="19" t="str">
        <f t="shared" si="24"/>
        <v>OK</v>
      </c>
      <c r="N66" s="19" t="str">
        <f t="shared" si="24"/>
        <v>OK</v>
      </c>
      <c r="O66" s="19" t="str">
        <f t="shared" si="24"/>
        <v>OK</v>
      </c>
      <c r="P66" s="19" t="str">
        <f t="shared" si="24"/>
        <v>OK</v>
      </c>
      <c r="Q66" s="19" t="str">
        <f t="shared" si="24"/>
        <v>OK</v>
      </c>
      <c r="R66" s="19" t="str">
        <f t="shared" si="24"/>
        <v>OK</v>
      </c>
      <c r="S66" s="19" t="str">
        <f t="shared" si="24"/>
        <v>OK</v>
      </c>
      <c r="T66" s="19" t="str">
        <f t="shared" si="24"/>
        <v>OK</v>
      </c>
      <c r="U66" s="19" t="str">
        <f t="shared" si="24"/>
        <v>OK</v>
      </c>
      <c r="V66" s="19" t="str">
        <f t="shared" si="24"/>
        <v>OK</v>
      </c>
      <c r="W66" s="19" t="str">
        <f t="shared" si="24"/>
        <v>OK</v>
      </c>
      <c r="X66" s="19" t="str">
        <f t="shared" si="24"/>
        <v>OK</v>
      </c>
      <c r="Y66" s="19" t="str">
        <f t="shared" si="24"/>
        <v>OK</v>
      </c>
      <c r="Z66" s="19" t="str">
        <f t="shared" si="24"/>
        <v>OK</v>
      </c>
      <c r="AA66" s="19" t="str">
        <f t="shared" si="24"/>
        <v>OK</v>
      </c>
      <c r="AB66" s="19" t="str">
        <f t="shared" si="24"/>
        <v>OK</v>
      </c>
      <c r="AC66" s="19" t="str">
        <f t="shared" si="24"/>
        <v>OK</v>
      </c>
      <c r="AD66" s="19" t="str">
        <f t="shared" si="24"/>
        <v>OK</v>
      </c>
      <c r="AE66" s="19" t="str">
        <f t="shared" si="24"/>
        <v>OK</v>
      </c>
      <c r="AF66" s="19" t="str">
        <f t="shared" si="24"/>
        <v>OK</v>
      </c>
      <c r="AG66" s="19" t="str">
        <f t="shared" si="24"/>
        <v>OK</v>
      </c>
      <c r="AH66" s="19" t="str">
        <f t="shared" si="24"/>
        <v>OK</v>
      </c>
      <c r="AI66" s="19" t="str">
        <f t="shared" si="24"/>
        <v>OK</v>
      </c>
      <c r="AJ66" s="19" t="str">
        <f t="shared" si="24"/>
        <v>OK</v>
      </c>
      <c r="AK66" s="19" t="str">
        <f t="shared" si="24"/>
        <v>OK</v>
      </c>
      <c r="AL66" s="19" t="str">
        <f t="shared" si="24"/>
        <v>OK</v>
      </c>
      <c r="AM66" s="19" t="str">
        <f t="shared" si="24"/>
        <v>OK</v>
      </c>
      <c r="AN66" s="19" t="str">
        <f t="shared" si="24"/>
        <v>OK</v>
      </c>
      <c r="AO66" s="19" t="str">
        <f t="shared" si="24"/>
        <v>OK</v>
      </c>
      <c r="AP66" s="19" t="str">
        <f t="shared" si="24"/>
        <v>OK</v>
      </c>
      <c r="AQ66" s="19" t="str">
        <f t="shared" si="24"/>
        <v>OK</v>
      </c>
      <c r="AR66" s="19" t="str">
        <f>IF(ROUND(AR62,0)=ROUND(AR51,0),"OK","ERROR")</f>
        <v>OK</v>
      </c>
      <c r="AS66" s="19" t="str">
        <f>IF(ROUND(AS62,0)=ROUND(AS51,0),"OK","ERROR")</f>
        <v>OK</v>
      </c>
      <c r="AT66" s="19" t="str">
        <f>IF(ROUND(AT62,0)=ROUND(AT51,0),"OK","ERROR")</f>
        <v>OK</v>
      </c>
      <c r="AU66" s="19" t="str">
        <f>IF(ROUND(AU62,0)=ROUND(AU51,0),"OK","ERROR")</f>
        <v>OK</v>
      </c>
      <c r="AW66" s="18"/>
      <c r="AZ66" s="17"/>
      <c r="BA66" s="17"/>
    </row>
    <row r="67" spans="1:67" s="2" customFormat="1">
      <c r="A67" s="9">
        <v>52</v>
      </c>
      <c r="B67" s="12" t="s">
        <v>3</v>
      </c>
      <c r="C67" s="3"/>
      <c r="AU67" s="13" t="str">
        <f>IF(ROUND(AU65,0)=ROUND(AV21,0),"MATCH",AU65-AV21)</f>
        <v>MATCH</v>
      </c>
    </row>
    <row r="68" spans="1:67" s="2" customFormat="1" outlineLevel="1">
      <c r="A68" s="9">
        <v>53</v>
      </c>
      <c r="B68" s="16"/>
    </row>
    <row r="69" spans="1:67" s="2" customFormat="1" outlineLevel="1">
      <c r="A69" s="9">
        <v>54</v>
      </c>
      <c r="B69" s="16"/>
    </row>
    <row r="70" spans="1:67" s="2" customFormat="1" outlineLevel="1">
      <c r="A70" s="9">
        <f>A69+1</f>
        <v>55</v>
      </c>
      <c r="B70" s="16" t="s">
        <v>4</v>
      </c>
      <c r="D70" s="14">
        <f t="shared" ref="D70:AT70" si="25">(D62*$C$63)-D49</f>
        <v>-21211802.879899204</v>
      </c>
      <c r="E70" s="14">
        <f t="shared" si="25"/>
        <v>29139113.529240973</v>
      </c>
      <c r="F70" s="14">
        <f t="shared" si="25"/>
        <v>-20557383.659274291</v>
      </c>
      <c r="G70" s="14">
        <f t="shared" si="25"/>
        <v>1000540.3107059002</v>
      </c>
      <c r="H70" s="14">
        <f t="shared" si="25"/>
        <v>27023238.806572676</v>
      </c>
      <c r="I70" s="14">
        <f t="shared" si="25"/>
        <v>-52406954.009995006</v>
      </c>
      <c r="J70" s="14">
        <f t="shared" si="25"/>
        <v>20539880.728826109</v>
      </c>
      <c r="K70" s="14">
        <f t="shared" si="25"/>
        <v>-4797452.3728352524</v>
      </c>
      <c r="L70" s="14">
        <f t="shared" si="25"/>
        <v>-69387.278670666696</v>
      </c>
      <c r="M70" s="14">
        <f t="shared" si="25"/>
        <v>-681065</v>
      </c>
      <c r="N70" s="14">
        <f t="shared" si="25"/>
        <v>109903.18925372648</v>
      </c>
      <c r="O70" s="14">
        <f t="shared" si="25"/>
        <v>-16141.122864383684</v>
      </c>
      <c r="P70" s="14">
        <f t="shared" si="25"/>
        <v>176605.63064400846</v>
      </c>
      <c r="Q70" s="14">
        <f t="shared" si="25"/>
        <v>0</v>
      </c>
      <c r="R70" s="14">
        <f t="shared" si="25"/>
        <v>-171199.77983333383</v>
      </c>
      <c r="S70" s="14">
        <f t="shared" si="25"/>
        <v>-66147.120545911268</v>
      </c>
      <c r="T70" s="14">
        <f t="shared" si="25"/>
        <v>1184945.4451730854</v>
      </c>
      <c r="U70" s="14">
        <f t="shared" si="25"/>
        <v>1357715.5890578774</v>
      </c>
      <c r="V70" s="14">
        <f t="shared" si="25"/>
        <v>96704.676397892646</v>
      </c>
      <c r="W70" s="14">
        <f t="shared" si="25"/>
        <v>121750.92923393101</v>
      </c>
      <c r="X70" s="14">
        <f t="shared" si="25"/>
        <v>512046.21090660006</v>
      </c>
      <c r="Y70" s="14">
        <f t="shared" si="25"/>
        <v>2010221.1570587384</v>
      </c>
      <c r="Z70" s="14">
        <f t="shared" si="25"/>
        <v>738893.48934232595</v>
      </c>
      <c r="AA70" s="14">
        <f t="shared" si="25"/>
        <v>-10262.31709798798</v>
      </c>
      <c r="AB70" s="14">
        <f t="shared" si="25"/>
        <v>1178532.0769223194</v>
      </c>
      <c r="AC70" s="14">
        <f t="shared" si="25"/>
        <v>-315757</v>
      </c>
      <c r="AD70" s="14">
        <f t="shared" si="25"/>
        <v>2829371.8658719659</v>
      </c>
      <c r="AE70" s="14">
        <f t="shared" si="25"/>
        <v>-61133.271335334284</v>
      </c>
      <c r="AF70" s="14">
        <f t="shared" si="25"/>
        <v>-283030.83514081</v>
      </c>
      <c r="AG70" s="14">
        <f t="shared" si="25"/>
        <v>41672583.95949994</v>
      </c>
      <c r="AH70" s="14">
        <f t="shared" si="25"/>
        <v>-1694168.9813750032</v>
      </c>
      <c r="AI70" s="14">
        <f t="shared" si="25"/>
        <v>-4985300.5134253819</v>
      </c>
      <c r="AJ70" s="14">
        <f t="shared" si="25"/>
        <v>355003.72904784064</v>
      </c>
      <c r="AK70" s="14">
        <f t="shared" si="25"/>
        <v>0</v>
      </c>
      <c r="AL70" s="14">
        <f t="shared" si="25"/>
        <v>1334832.2449073927</v>
      </c>
      <c r="AM70" s="14">
        <f t="shared" si="25"/>
        <v>1400638.2836565159</v>
      </c>
      <c r="AN70" s="14">
        <f t="shared" si="25"/>
        <v>-181638.74877908878</v>
      </c>
      <c r="AO70" s="14">
        <f t="shared" si="25"/>
        <v>6704037.7906815931</v>
      </c>
      <c r="AP70" s="14">
        <f t="shared" si="25"/>
        <v>-34156.472365063768</v>
      </c>
      <c r="AQ70" s="14">
        <f t="shared" si="25"/>
        <v>53155381.159463763</v>
      </c>
      <c r="AR70" s="14">
        <f t="shared" si="25"/>
        <v>31943578.2795645</v>
      </c>
      <c r="AS70" s="14">
        <f t="shared" si="25"/>
        <v>-21211802.879899204</v>
      </c>
      <c r="AT70" s="14">
        <f t="shared" si="25"/>
        <v>53155381.159463763</v>
      </c>
      <c r="AU70" s="15">
        <f>SUM(D70:AP70)</f>
        <v>31943578.279564697</v>
      </c>
      <c r="AV70" s="14">
        <f>(AV62*$C$63)-AV49</f>
        <v>-31943578.222033001</v>
      </c>
      <c r="AW70" s="14">
        <f>(AW62*$C$63)-AW49</f>
        <v>5.7531476020812988E-2</v>
      </c>
    </row>
    <row r="71" spans="1:67" s="2" customFormat="1" outlineLevel="1">
      <c r="A71" s="9">
        <v>56</v>
      </c>
      <c r="B71" s="12" t="s">
        <v>3</v>
      </c>
      <c r="AU71" s="13" t="str">
        <f>IF(ROUND(AU70,0)=ROUND(AV49,0),"MATCH",AU70-AV49)</f>
        <v>MATCH</v>
      </c>
    </row>
    <row r="72" spans="1:67" s="2" customFormat="1" outlineLevel="1">
      <c r="A72" s="9">
        <v>57</v>
      </c>
      <c r="B72" s="12"/>
      <c r="AQ72" s="11"/>
    </row>
    <row r="73" spans="1:67" s="2" customFormat="1" outlineLevel="1">
      <c r="A73" s="9">
        <v>58</v>
      </c>
      <c r="B73" s="12"/>
      <c r="AQ73" s="11"/>
    </row>
    <row r="74" spans="1:67" s="2" customFormat="1" outlineLevel="1">
      <c r="A74" s="9">
        <v>59</v>
      </c>
      <c r="B74" s="8" t="s">
        <v>2</v>
      </c>
      <c r="D74" s="6">
        <v>-3464894.4465503655</v>
      </c>
      <c r="E74" s="6">
        <v>47070618.623087555</v>
      </c>
      <c r="F74" s="6">
        <v>-28313247.212265223</v>
      </c>
      <c r="G74" s="6">
        <v>1616248.5977825739</v>
      </c>
      <c r="H74" s="6">
        <v>43652685.815179482</v>
      </c>
      <c r="I74" s="6">
        <v>-86176955.400119856</v>
      </c>
      <c r="J74" s="6">
        <v>53745459.37840499</v>
      </c>
      <c r="K74" s="6"/>
      <c r="L74" s="6">
        <v>-112086.53030310378</v>
      </c>
      <c r="M74" s="6">
        <v>-1100175.914423852</v>
      </c>
      <c r="N74" s="6">
        <v>177534.95148820771</v>
      </c>
      <c r="O74" s="6">
        <v>-26073.979146118305</v>
      </c>
      <c r="P74" s="6">
        <v>285284.46064057475</v>
      </c>
      <c r="Q74" s="6">
        <v>427920.42461994244</v>
      </c>
      <c r="R74" s="6">
        <v>-276551.98010072485</v>
      </c>
      <c r="S74" s="6">
        <v>-106852.45730305139</v>
      </c>
      <c r="T74" s="6">
        <v>1914132.1880961107</v>
      </c>
      <c r="U74" s="6">
        <v>2193220.8962716763</v>
      </c>
      <c r="V74" s="6">
        <v>156214.39331798616</v>
      </c>
      <c r="W74" s="6">
        <v>196673.5038533675</v>
      </c>
      <c r="X74" s="6">
        <v>1493697.6910951799</v>
      </c>
      <c r="Y74" s="6">
        <v>4987474.8171887295</v>
      </c>
      <c r="Z74" s="6">
        <v>1288713.2267041537</v>
      </c>
      <c r="AA74" s="6">
        <v>-16577.498619641967</v>
      </c>
      <c r="AB74" s="6"/>
      <c r="AC74" s="6"/>
      <c r="AD74" s="6">
        <v>23863154.545452703</v>
      </c>
      <c r="AE74" s="6">
        <v>-98753.206658795942</v>
      </c>
      <c r="AF74" s="6">
        <v>-468971.6971383057</v>
      </c>
      <c r="AG74" s="6">
        <v>67316883.357752338</v>
      </c>
      <c r="AH74" s="6">
        <v>13551416.09529479</v>
      </c>
      <c r="AI74" s="6">
        <v>-8316626.9361028951</v>
      </c>
      <c r="AJ74" s="6">
        <v>590455.45710244845</v>
      </c>
      <c r="AK74" s="6">
        <v>6283688.3522106046</v>
      </c>
      <c r="AL74" s="6">
        <v>2264682.1929226848</v>
      </c>
      <c r="AM74" s="6">
        <v>2376145.530318948</v>
      </c>
      <c r="AN74" s="6">
        <v>4798142.6038320558</v>
      </c>
      <c r="AO74" s="6">
        <v>4161374.7510302039</v>
      </c>
      <c r="AP74" s="6">
        <v>-11901989.12361888</v>
      </c>
      <c r="AQ74" s="6">
        <v>147496959.9178468</v>
      </c>
      <c r="AR74" s="6">
        <v>144032065.47129652</v>
      </c>
      <c r="AS74" s="6">
        <v>-3464894.4465503655</v>
      </c>
      <c r="AT74" s="6">
        <v>147496959.9178468</v>
      </c>
      <c r="AU74" s="6">
        <v>144032065.47129613</v>
      </c>
      <c r="AV74" s="6">
        <v>-144032066</v>
      </c>
      <c r="AW74" s="6">
        <v>-0.52870433246510851</v>
      </c>
    </row>
    <row r="75" spans="1:67" s="2" customFormat="1" outlineLevel="1">
      <c r="A75" s="9">
        <v>60</v>
      </c>
      <c r="B75" s="8" t="s">
        <v>0</v>
      </c>
      <c r="D75" s="10">
        <f t="shared" ref="D75:J75" si="26">D65-D74</f>
        <v>-30800138.450414833</v>
      </c>
      <c r="E75" s="10">
        <f t="shared" si="26"/>
        <v>0</v>
      </c>
      <c r="F75" s="10">
        <f t="shared" si="26"/>
        <v>-4894652.7172628604</v>
      </c>
      <c r="G75" s="10">
        <f t="shared" si="26"/>
        <v>0</v>
      </c>
      <c r="H75" s="10">
        <f t="shared" si="26"/>
        <v>0</v>
      </c>
      <c r="I75" s="10">
        <f t="shared" si="26"/>
        <v>1520030.5102561712</v>
      </c>
      <c r="J75" s="10">
        <f t="shared" si="26"/>
        <v>-20565833.259028543</v>
      </c>
      <c r="K75" s="10"/>
      <c r="L75" s="10">
        <f t="shared" ref="L75:AA75" si="27">L65-L74</f>
        <v>0</v>
      </c>
      <c r="M75" s="10">
        <f t="shared" si="27"/>
        <v>0</v>
      </c>
      <c r="N75" s="10">
        <f t="shared" si="27"/>
        <v>0</v>
      </c>
      <c r="O75" s="10">
        <f t="shared" si="27"/>
        <v>0</v>
      </c>
      <c r="P75" s="10">
        <f t="shared" si="27"/>
        <v>0</v>
      </c>
      <c r="Q75" s="10">
        <f t="shared" si="27"/>
        <v>-427920.42461994244</v>
      </c>
      <c r="R75" s="10">
        <f t="shared" si="27"/>
        <v>0</v>
      </c>
      <c r="S75" s="10">
        <f t="shared" si="27"/>
        <v>0</v>
      </c>
      <c r="T75" s="10">
        <f t="shared" si="27"/>
        <v>0</v>
      </c>
      <c r="U75" s="10">
        <f t="shared" si="27"/>
        <v>0</v>
      </c>
      <c r="V75" s="10">
        <f t="shared" si="27"/>
        <v>0</v>
      </c>
      <c r="W75" s="10">
        <f t="shared" si="27"/>
        <v>0</v>
      </c>
      <c r="X75" s="10">
        <f t="shared" si="27"/>
        <v>-666550.63712612074</v>
      </c>
      <c r="Y75" s="10">
        <f t="shared" si="27"/>
        <v>-1740212.2216049433</v>
      </c>
      <c r="Z75" s="10">
        <f t="shared" si="27"/>
        <v>-95122.570453980472</v>
      </c>
      <c r="AA75" s="10">
        <f t="shared" si="27"/>
        <v>0</v>
      </c>
      <c r="AB75" s="10"/>
      <c r="AC75" s="10"/>
      <c r="AD75" s="10">
        <f t="shared" ref="AD75:AW75" si="28">AD65-AD74</f>
        <v>-19292655.724076167</v>
      </c>
      <c r="AE75" s="10">
        <f t="shared" si="28"/>
        <v>0</v>
      </c>
      <c r="AF75" s="10">
        <f t="shared" si="28"/>
        <v>11770.537394100451</v>
      </c>
      <c r="AG75" s="10">
        <f t="shared" si="28"/>
        <v>0</v>
      </c>
      <c r="AH75" s="10">
        <f t="shared" si="28"/>
        <v>-16288135.65697065</v>
      </c>
      <c r="AI75" s="10">
        <f t="shared" si="28"/>
        <v>263493.1661463296</v>
      </c>
      <c r="AJ75" s="10">
        <f t="shared" si="28"/>
        <v>-16991.02679244068</v>
      </c>
      <c r="AK75" s="10">
        <f t="shared" si="28"/>
        <v>-6283688.3522106046</v>
      </c>
      <c r="AL75" s="10">
        <f t="shared" si="28"/>
        <v>-108426.49685339071</v>
      </c>
      <c r="AM75" s="10">
        <f t="shared" si="28"/>
        <v>-113588.35222454881</v>
      </c>
      <c r="AN75" s="10">
        <f t="shared" si="28"/>
        <v>-5091557.4416710846</v>
      </c>
      <c r="AO75" s="10">
        <f t="shared" si="28"/>
        <v>6668165.6110426998</v>
      </c>
      <c r="AP75" s="10">
        <f t="shared" si="28"/>
        <v>11846813.584987873</v>
      </c>
      <c r="AQ75" s="10">
        <f t="shared" si="28"/>
        <v>-61631043.927946508</v>
      </c>
      <c r="AR75" s="10">
        <f t="shared" si="28"/>
        <v>-92431182.378361523</v>
      </c>
      <c r="AS75" s="10">
        <f t="shared" si="28"/>
        <v>-30800138.450414833</v>
      </c>
      <c r="AT75" s="10">
        <f t="shared" si="28"/>
        <v>-61631043.927946508</v>
      </c>
      <c r="AU75" s="10">
        <f t="shared" si="28"/>
        <v>-92431182.378360823</v>
      </c>
      <c r="AV75" s="10">
        <f t="shared" si="28"/>
        <v>92431183</v>
      </c>
      <c r="AW75" s="10">
        <f t="shared" si="28"/>
        <v>0.62163928616167463</v>
      </c>
    </row>
    <row r="76" spans="1:67" s="2" customFormat="1" outlineLevel="1">
      <c r="A76" s="9">
        <v>61</v>
      </c>
      <c r="B76" s="8" t="s">
        <v>1</v>
      </c>
      <c r="D76" s="6">
        <v>-2144946.3720314503</v>
      </c>
      <c r="E76" s="6">
        <v>29139113.529240973</v>
      </c>
      <c r="F76" s="6">
        <v>-17527344</v>
      </c>
      <c r="G76" s="6">
        <v>1000540.3107059002</v>
      </c>
      <c r="H76" s="6">
        <v>27023238.806572676</v>
      </c>
      <c r="I76" s="6">
        <v>-53347930.4173996</v>
      </c>
      <c r="J76" s="6">
        <v>33271180.373660989</v>
      </c>
      <c r="K76" s="6"/>
      <c r="L76" s="6">
        <v>-69387.278670666696</v>
      </c>
      <c r="M76" s="6">
        <v>-681065</v>
      </c>
      <c r="N76" s="6">
        <v>109903.18925372648</v>
      </c>
      <c r="O76" s="6">
        <v>-16141.122864383684</v>
      </c>
      <c r="P76" s="6">
        <v>176605.63064400846</v>
      </c>
      <c r="Q76" s="6">
        <v>264904.5667814</v>
      </c>
      <c r="R76" s="6">
        <v>-171199.77983333383</v>
      </c>
      <c r="S76" s="6">
        <v>-66147.120545911268</v>
      </c>
      <c r="T76" s="6">
        <v>1184945.4451730854</v>
      </c>
      <c r="U76" s="6">
        <v>1357715.5890578774</v>
      </c>
      <c r="V76" s="6">
        <v>96704.676397892646</v>
      </c>
      <c r="W76" s="6">
        <v>121750.92923393101</v>
      </c>
      <c r="X76" s="6">
        <v>924675.04937016219</v>
      </c>
      <c r="Y76" s="6">
        <v>3087501.2730555004</v>
      </c>
      <c r="Z76" s="6">
        <v>797779.21170443308</v>
      </c>
      <c r="AA76" s="6">
        <v>-10262.31709798798</v>
      </c>
      <c r="AB76" s="6"/>
      <c r="AC76" s="6"/>
      <c r="AD76" s="6">
        <v>14772509.684517041</v>
      </c>
      <c r="AE76" s="6">
        <v>-61133.271335334284</v>
      </c>
      <c r="AF76" s="6">
        <v>-290317.3980851653</v>
      </c>
      <c r="AG76" s="6">
        <v>41672583.95949994</v>
      </c>
      <c r="AH76" s="6">
        <v>8389017.6852083355</v>
      </c>
      <c r="AI76" s="6">
        <v>-5148416.2214214336</v>
      </c>
      <c r="AJ76" s="6">
        <v>365522.04117472784</v>
      </c>
      <c r="AK76" s="6">
        <v>3889923.5581243271</v>
      </c>
      <c r="AL76" s="6">
        <v>1401953.776210981</v>
      </c>
      <c r="AM76" s="6">
        <v>1470955.2666894752</v>
      </c>
      <c r="AN76" s="6">
        <v>2970294.977044838</v>
      </c>
      <c r="AO76" s="6">
        <v>2576103.200999999</v>
      </c>
      <c r="AP76" s="6">
        <v>-7367938.2689653914</v>
      </c>
      <c r="AQ76" s="6">
        <v>91308140.534102976</v>
      </c>
      <c r="AR76" s="6">
        <v>89163194.162071586</v>
      </c>
      <c r="AS76" s="6">
        <v>-2144946.3720314503</v>
      </c>
      <c r="AT76" s="6">
        <v>91308140.534102976</v>
      </c>
      <c r="AU76" s="6">
        <v>89163194.162071347</v>
      </c>
      <c r="AV76" s="6">
        <v>-89163194.489365995</v>
      </c>
      <c r="AW76" s="6">
        <v>-0.32729494571685791</v>
      </c>
    </row>
    <row r="77" spans="1:67" s="2" customFormat="1" outlineLevel="1">
      <c r="A77" s="9">
        <v>62</v>
      </c>
      <c r="B77" s="8" t="s">
        <v>0</v>
      </c>
      <c r="D77" s="7">
        <f t="shared" ref="D77:J77" si="29">D70-D76</f>
        <v>-19066856.507867754</v>
      </c>
      <c r="E77" s="7">
        <f t="shared" si="29"/>
        <v>0</v>
      </c>
      <c r="F77" s="7">
        <f t="shared" si="29"/>
        <v>-3030039.6592742912</v>
      </c>
      <c r="G77" s="7">
        <f t="shared" si="29"/>
        <v>0</v>
      </c>
      <c r="H77" s="7">
        <f t="shared" si="29"/>
        <v>0</v>
      </c>
      <c r="I77" s="7">
        <f t="shared" si="29"/>
        <v>940976.40740459412</v>
      </c>
      <c r="J77" s="7">
        <f t="shared" si="29"/>
        <v>-12731299.64483488</v>
      </c>
      <c r="K77" s="7"/>
      <c r="L77" s="7">
        <f t="shared" ref="L77:AA77" si="30">L70-L76</f>
        <v>0</v>
      </c>
      <c r="M77" s="7">
        <f t="shared" si="30"/>
        <v>0</v>
      </c>
      <c r="N77" s="7">
        <f t="shared" si="30"/>
        <v>0</v>
      </c>
      <c r="O77" s="7">
        <f t="shared" si="30"/>
        <v>0</v>
      </c>
      <c r="P77" s="7">
        <f t="shared" si="30"/>
        <v>0</v>
      </c>
      <c r="Q77" s="7">
        <f t="shared" si="30"/>
        <v>-264904.5667814</v>
      </c>
      <c r="R77" s="7">
        <f t="shared" si="30"/>
        <v>0</v>
      </c>
      <c r="S77" s="7">
        <f t="shared" si="30"/>
        <v>0</v>
      </c>
      <c r="T77" s="7">
        <f t="shared" si="30"/>
        <v>0</v>
      </c>
      <c r="U77" s="7">
        <f t="shared" si="30"/>
        <v>0</v>
      </c>
      <c r="V77" s="7">
        <f t="shared" si="30"/>
        <v>0</v>
      </c>
      <c r="W77" s="7">
        <f t="shared" si="30"/>
        <v>0</v>
      </c>
      <c r="X77" s="7">
        <f t="shared" si="30"/>
        <v>-412628.83846356213</v>
      </c>
      <c r="Y77" s="7">
        <f t="shared" si="30"/>
        <v>-1077280.1159967619</v>
      </c>
      <c r="Z77" s="7">
        <f t="shared" si="30"/>
        <v>-58885.722362107132</v>
      </c>
      <c r="AA77" s="7">
        <f t="shared" si="30"/>
        <v>0</v>
      </c>
      <c r="AB77" s="7"/>
      <c r="AC77" s="7"/>
      <c r="AD77" s="7">
        <f t="shared" ref="AD77:AW77" si="31">AD70-AD76</f>
        <v>-11943137.818645075</v>
      </c>
      <c r="AE77" s="7">
        <f t="shared" si="31"/>
        <v>0</v>
      </c>
      <c r="AF77" s="7">
        <f t="shared" si="31"/>
        <v>7286.5629443553044</v>
      </c>
      <c r="AG77" s="7">
        <f t="shared" si="31"/>
        <v>0</v>
      </c>
      <c r="AH77" s="7">
        <f t="shared" si="31"/>
        <v>-10083186.666583339</v>
      </c>
      <c r="AI77" s="7">
        <f t="shared" si="31"/>
        <v>163115.70799605176</v>
      </c>
      <c r="AJ77" s="7">
        <f t="shared" si="31"/>
        <v>-10518.312126887206</v>
      </c>
      <c r="AK77" s="7">
        <f t="shared" si="31"/>
        <v>-3889923.5581243271</v>
      </c>
      <c r="AL77" s="7">
        <f t="shared" si="31"/>
        <v>-67121.531303588301</v>
      </c>
      <c r="AM77" s="7">
        <f t="shared" si="31"/>
        <v>-70316.983032959281</v>
      </c>
      <c r="AN77" s="7">
        <f t="shared" si="31"/>
        <v>-3151933.7258239267</v>
      </c>
      <c r="AO77" s="7">
        <f t="shared" si="31"/>
        <v>4127934.5896815942</v>
      </c>
      <c r="AP77" s="7">
        <f t="shared" si="31"/>
        <v>7333781.7966003278</v>
      </c>
      <c r="AQ77" s="7">
        <f t="shared" si="31"/>
        <v>-38152759.374639213</v>
      </c>
      <c r="AR77" s="7">
        <f t="shared" si="31"/>
        <v>-57219615.882507086</v>
      </c>
      <c r="AS77" s="7">
        <f t="shared" si="31"/>
        <v>-19066856.507867754</v>
      </c>
      <c r="AT77" s="7">
        <f t="shared" si="31"/>
        <v>-38152759.374639213</v>
      </c>
      <c r="AU77" s="7">
        <f t="shared" si="31"/>
        <v>-57219615.882506654</v>
      </c>
      <c r="AV77" s="7">
        <f t="shared" si="31"/>
        <v>57219616.267332993</v>
      </c>
      <c r="AW77" s="7">
        <f t="shared" si="31"/>
        <v>0.3848264217376709</v>
      </c>
    </row>
    <row r="78" spans="1:67" s="2" customFormat="1" ht="11.25"/>
    <row r="79" spans="1:67" s="2" customFormat="1" ht="11.25"/>
    <row r="80" spans="1:67" s="2" customFormat="1" ht="11.25">
      <c r="AD80" s="6"/>
    </row>
    <row r="81" spans="43:53" s="2" customFormat="1" ht="11.25"/>
    <row r="82" spans="43:53" s="2" customFormat="1" ht="11.25"/>
    <row r="83" spans="43:53" s="2" customFormat="1" ht="11.25"/>
    <row r="84" spans="43:53" s="2" customFormat="1" ht="11.25"/>
    <row r="85" spans="43:53" s="2" customFormat="1" ht="11.25"/>
    <row r="86" spans="43:53" s="2" customFormat="1" ht="11.25"/>
    <row r="87" spans="43:53" s="2" customFormat="1" ht="11.25"/>
    <row r="88" spans="43:53" s="2" customFormat="1" ht="11.25"/>
    <row r="89" spans="43:53" s="2" customFormat="1" ht="11.25"/>
    <row r="90" spans="43:53" s="2" customFormat="1" ht="11.25"/>
    <row r="91" spans="43:53" s="2" customFormat="1" ht="11.25"/>
    <row r="92" spans="43:53" s="2" customFormat="1" ht="11.25"/>
    <row r="93" spans="43:53" s="2" customFormat="1" ht="11.25"/>
    <row r="94" spans="43:53" s="2" customFormat="1" ht="11.25"/>
    <row r="95" spans="43:53" s="2" customFormat="1">
      <c r="AZ95" s="1"/>
      <c r="BA95" s="1"/>
    </row>
    <row r="96" spans="43:53" s="1" customFormat="1">
      <c r="AQ96" s="3"/>
      <c r="AR96" s="3"/>
      <c r="AS96" s="3"/>
      <c r="AT96" s="3"/>
      <c r="AU96" s="3"/>
      <c r="AV96" s="3"/>
      <c r="AW96" s="4"/>
      <c r="AX96" s="3"/>
    </row>
    <row r="97" spans="51:51">
      <c r="AY97" s="1"/>
    </row>
    <row r="98" spans="51:51">
      <c r="AY98" s="1"/>
    </row>
  </sheetData>
  <mergeCells count="17">
    <mergeCell ref="AZ5:BB5"/>
    <mergeCell ref="AD6:AK6"/>
    <mergeCell ref="AD7:AK7"/>
    <mergeCell ref="AD8:AK8"/>
    <mergeCell ref="AL5:AR5"/>
    <mergeCell ref="AL6:AR6"/>
    <mergeCell ref="AL7:AR7"/>
    <mergeCell ref="AL8:AR8"/>
    <mergeCell ref="AD5:AK5"/>
    <mergeCell ref="L5:S5"/>
    <mergeCell ref="L6:S6"/>
    <mergeCell ref="L7:S7"/>
    <mergeCell ref="L8:S8"/>
    <mergeCell ref="T5:AA5"/>
    <mergeCell ref="T6:AA6"/>
    <mergeCell ref="T7:AA7"/>
    <mergeCell ref="T8:AA8"/>
  </mergeCells>
  <conditionalFormatting sqref="AL66 AN66:AT66 D66:AI66">
    <cfRule type="cellIs" dxfId="9" priority="9" stopIfTrue="1" operator="equal">
      <formula>"OK"</formula>
    </cfRule>
    <cfRule type="cellIs" dxfId="8" priority="10" stopIfTrue="1" operator="equal">
      <formula>"ERROR"</formula>
    </cfRule>
  </conditionalFormatting>
  <conditionalFormatting sqref="AM66">
    <cfRule type="cellIs" dxfId="7" priority="7" stopIfTrue="1" operator="equal">
      <formula>"OK"</formula>
    </cfRule>
    <cfRule type="cellIs" dxfId="6" priority="8" stopIfTrue="1" operator="equal">
      <formula>"ERROR"</formula>
    </cfRule>
  </conditionalFormatting>
  <conditionalFormatting sqref="AJ66">
    <cfRule type="cellIs" dxfId="5" priority="5" stopIfTrue="1" operator="equal">
      <formula>"OK"</formula>
    </cfRule>
    <cfRule type="cellIs" dxfId="4" priority="6" stopIfTrue="1" operator="equal">
      <formula>"ERROR"</formula>
    </cfRule>
  </conditionalFormatting>
  <conditionalFormatting sqref="AK66">
    <cfRule type="cellIs" dxfId="3" priority="3" stopIfTrue="1" operator="equal">
      <formula>"OK"</formula>
    </cfRule>
    <cfRule type="cellIs" dxfId="2" priority="4" stopIfTrue="1" operator="equal">
      <formula>"ERROR"</formula>
    </cfRule>
  </conditionalFormatting>
  <conditionalFormatting sqref="AU66">
    <cfRule type="cellIs" dxfId="1" priority="1" stopIfTrue="1" operator="equal">
      <formula>"OK"</formula>
    </cfRule>
    <cfRule type="cellIs" dxfId="0" priority="2" stopIfTrue="1" operator="equal">
      <formula>"ERROR"</formula>
    </cfRule>
  </conditionalFormatting>
  <pageMargins left="1.5" right="0.46" top="1" bottom="0.57999999999999996" header="0.24" footer="0.31"/>
  <pageSetup scale="55" fitToHeight="0" orientation="landscape" r:id="rId1"/>
  <headerFooter alignWithMargins="0">
    <oddFooter>&amp;CREVISED AUGUST 08, 2017</oddFooter>
  </headerFooter>
  <colBreaks count="5" manualBreakCount="5">
    <brk id="9" max="64" man="1"/>
    <brk id="18" max="64" man="1"/>
    <brk id="27" max="64" man="1"/>
    <brk id="36" max="64" man="1"/>
    <brk id="44" max="6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DP108"/>
  <sheetViews>
    <sheetView view="pageBreakPreview" topLeftCell="N1" zoomScale="90" zoomScaleNormal="100" zoomScaleSheetLayoutView="90" workbookViewId="0">
      <pane ySplit="11" topLeftCell="A18" activePane="bottomLeft" state="frozen"/>
      <selection activeCell="BB2" sqref="BB2"/>
      <selection pane="bottomLeft" activeCell="BB2" sqref="BB2"/>
    </sheetView>
  </sheetViews>
  <sheetFormatPr defaultRowHeight="12.75" outlineLevelRow="1" outlineLevelCol="1"/>
  <cols>
    <col min="1" max="1" width="6.1640625" style="121" customWidth="1"/>
    <col min="2" max="2" width="57.5" style="121" customWidth="1"/>
    <col min="3" max="3" width="25.33203125" style="121" customWidth="1"/>
    <col min="4" max="4" width="17.5" style="121" bestFit="1" customWidth="1"/>
    <col min="5" max="5" width="26.33203125" style="121" bestFit="1" customWidth="1"/>
    <col min="6" max="6" width="9.5" style="121" customWidth="1"/>
    <col min="7" max="7" width="26.5" style="121" customWidth="1"/>
    <col min="8" max="8" width="19.6640625" style="121" customWidth="1"/>
    <col min="9" max="9" width="18.83203125" style="121" customWidth="1"/>
    <col min="10" max="10" width="17.1640625" style="121" customWidth="1"/>
    <col min="11" max="11" width="18.5" style="121" customWidth="1"/>
    <col min="12" max="12" width="15.5" style="121" customWidth="1"/>
    <col min="13" max="13" width="6.5" style="121" customWidth="1"/>
    <col min="14" max="14" width="74.6640625" style="121" customWidth="1"/>
    <col min="15" max="15" width="9.33203125" style="121"/>
    <col min="16" max="16" width="13.33203125" style="121" customWidth="1"/>
    <col min="17" max="17" width="17.83203125" style="121" customWidth="1"/>
    <col min="18" max="18" width="6.5" style="121" customWidth="1"/>
    <col min="19" max="19" width="74.33203125" style="121" customWidth="1"/>
    <col min="20" max="20" width="7.6640625" style="121" customWidth="1"/>
    <col min="21" max="21" width="18.83203125" style="121" customWidth="1"/>
    <col min="22" max="22" width="5.83203125" style="121" bestFit="1" customWidth="1"/>
    <col min="23" max="23" width="57.5" style="121" customWidth="1"/>
    <col min="24" max="24" width="24.1640625" style="121" customWidth="1"/>
    <col min="25" max="25" width="21.1640625" style="121" customWidth="1"/>
    <col min="26" max="26" width="5.83203125" style="3" bestFit="1" customWidth="1"/>
    <col min="27" max="27" width="70.33203125" style="3" customWidth="1"/>
    <col min="28" max="28" width="16.6640625" style="3" customWidth="1"/>
    <col min="29" max="29" width="17.6640625" style="3" customWidth="1"/>
    <col min="30" max="30" width="18.5" style="3" customWidth="1"/>
    <col min="31" max="31" width="6.6640625" style="3" customWidth="1"/>
    <col min="32" max="32" width="44.1640625" style="3" customWidth="1"/>
    <col min="33" max="35" width="16.6640625" style="3" customWidth="1"/>
    <col min="36" max="36" width="6.83203125" style="121" customWidth="1"/>
    <col min="37" max="37" width="68.33203125" style="121" customWidth="1"/>
    <col min="38" max="38" width="13.6640625" style="121" customWidth="1"/>
    <col min="39" max="39" width="15.5" style="121" customWidth="1"/>
    <col min="40" max="40" width="19.1640625" style="121" customWidth="1"/>
    <col min="41" max="41" width="7.5" style="121" customWidth="1"/>
    <col min="42" max="42" width="44.5" style="121" customWidth="1"/>
    <col min="43" max="43" width="17.5" style="121" customWidth="1"/>
    <col min="44" max="44" width="21" style="121" customWidth="1" outlineLevel="1"/>
    <col min="45" max="45" width="18.33203125" style="121" customWidth="1" outlineLevel="1"/>
    <col min="46" max="46" width="22.6640625" style="121" customWidth="1" outlineLevel="1"/>
    <col min="47" max="47" width="15.5" style="121" customWidth="1" outlineLevel="1"/>
    <col min="48" max="48" width="19.5" style="121" customWidth="1"/>
    <col min="49" max="49" width="18.1640625" style="121" customWidth="1"/>
    <col min="50" max="50" width="6.83203125" style="3" customWidth="1"/>
    <col min="51" max="51" width="52" style="121" bestFit="1" customWidth="1"/>
    <col min="52" max="52" width="19.1640625" style="121" customWidth="1"/>
    <col min="53" max="53" width="18.33203125" style="121" customWidth="1"/>
    <col min="54" max="54" width="19.6640625" style="121" customWidth="1"/>
    <col min="55" max="55" width="5.83203125" style="121" bestFit="1" customWidth="1"/>
    <col min="56" max="56" width="47.83203125" style="121" customWidth="1"/>
    <col min="57" max="57" width="14.6640625" style="121" customWidth="1"/>
    <col min="58" max="58" width="14.83203125" style="121" customWidth="1"/>
    <col min="59" max="59" width="16.5" style="121" customWidth="1"/>
    <col min="60" max="60" width="6.83203125" style="3" customWidth="1"/>
    <col min="61" max="61" width="53.5" style="3" customWidth="1"/>
    <col min="62" max="62" width="7.1640625" style="3" customWidth="1"/>
    <col min="63" max="63" width="18.33203125" style="3" customWidth="1"/>
    <col min="64" max="64" width="5.83203125" style="3" customWidth="1"/>
    <col min="65" max="65" width="62.1640625" style="3" bestFit="1" customWidth="1"/>
    <col min="66" max="66" width="20.83203125" style="3" customWidth="1"/>
    <col min="67" max="67" width="17.1640625" style="3" customWidth="1"/>
    <col min="68" max="68" width="5" style="3" customWidth="1"/>
    <col min="69" max="69" width="71.33203125" style="3" customWidth="1"/>
    <col min="70" max="70" width="20" style="3" customWidth="1"/>
    <col min="71" max="71" width="15" style="3" customWidth="1"/>
    <col min="72" max="72" width="5.83203125" style="3" customWidth="1"/>
    <col min="73" max="73" width="40.5" style="3" customWidth="1"/>
    <col min="74" max="74" width="16.83203125" style="3" customWidth="1"/>
    <col min="75" max="75" width="14.83203125" style="3" customWidth="1"/>
    <col min="76" max="76" width="15.83203125" style="3" customWidth="1"/>
    <col min="77" max="77" width="5.83203125" style="3" customWidth="1"/>
    <col min="78" max="78" width="35.33203125" style="3" customWidth="1"/>
    <col min="79" max="79" width="18.6640625" style="3" customWidth="1"/>
    <col min="80" max="80" width="16.5" style="3" customWidth="1"/>
    <col min="81" max="81" width="16.6640625" style="3" customWidth="1"/>
    <col min="82" max="82" width="6.83203125" style="3" customWidth="1"/>
    <col min="83" max="83" width="53" style="3" bestFit="1" customWidth="1"/>
    <col min="84" max="84" width="15.83203125" style="3" bestFit="1" customWidth="1"/>
    <col min="85" max="85" width="20.5" style="3" customWidth="1"/>
    <col min="86" max="86" width="16" style="3" customWidth="1"/>
    <col min="87" max="87" width="5.83203125" style="3" customWidth="1"/>
    <col min="88" max="88" width="58.83203125" style="3" customWidth="1"/>
    <col min="89" max="89" width="10" style="3" customWidth="1"/>
    <col min="90" max="90" width="14.33203125" style="3" customWidth="1"/>
    <col min="91" max="91" width="17" style="3" customWidth="1"/>
    <col min="92" max="92" width="6.83203125" style="3" customWidth="1"/>
    <col min="93" max="93" width="38" style="3" customWidth="1"/>
    <col min="94" max="94" width="8.83203125" style="3" customWidth="1"/>
    <col min="95" max="95" width="6.1640625" style="3" customWidth="1"/>
    <col min="96" max="96" width="19.5" style="3" customWidth="1"/>
    <col min="97" max="97" width="6.83203125" style="3" customWidth="1"/>
    <col min="98" max="98" width="80.83203125" style="3" customWidth="1"/>
    <col min="99" max="99" width="9.83203125" style="3" customWidth="1"/>
    <col min="100" max="100" width="14.1640625" style="3" customWidth="1"/>
    <col min="101" max="101" width="19.1640625" style="3" customWidth="1"/>
    <col min="102" max="102" width="6.5" style="121" bestFit="1" customWidth="1"/>
    <col min="103" max="103" width="52" style="121" customWidth="1"/>
    <col min="104" max="104" width="15.5" style="121" customWidth="1"/>
    <col min="105" max="105" width="15.6640625" style="121" customWidth="1"/>
    <col min="106" max="106" width="19.1640625" style="121" customWidth="1"/>
    <col min="107" max="107" width="6.5" style="121" bestFit="1" customWidth="1"/>
    <col min="108" max="108" width="60.5" style="121" customWidth="1"/>
    <col min="109" max="109" width="14.6640625" style="121" customWidth="1"/>
    <col min="110" max="110" width="15.83203125" style="121" bestFit="1" customWidth="1"/>
    <col min="111" max="111" width="15.5" style="121" customWidth="1"/>
    <col min="112" max="112" width="9.33203125" style="121"/>
    <col min="113" max="113" width="59" style="121" customWidth="1"/>
    <col min="114" max="115" width="15.83203125" style="121" bestFit="1" customWidth="1"/>
    <col min="116" max="116" width="17.33203125" style="121" customWidth="1"/>
    <col min="117" max="117" width="9.33203125" style="121"/>
    <col min="118" max="118" width="47.1640625" style="121" bestFit="1" customWidth="1"/>
    <col min="119" max="119" width="9.1640625" style="121" customWidth="1"/>
    <col min="120" max="120" width="19" style="121" customWidth="1"/>
    <col min="121" max="121" width="16" style="121" bestFit="1" customWidth="1"/>
    <col min="122" max="16384" width="9.33203125" style="121"/>
  </cols>
  <sheetData>
    <row r="1" spans="1:120">
      <c r="A1" s="25"/>
      <c r="B1" s="3"/>
      <c r="C1" s="3"/>
      <c r="D1" s="3"/>
      <c r="E1" s="12" t="s">
        <v>870</v>
      </c>
      <c r="F1" s="25"/>
      <c r="G1" s="3"/>
      <c r="H1" s="3"/>
      <c r="I1" s="3"/>
      <c r="J1" s="3"/>
      <c r="K1" s="3"/>
      <c r="L1" s="12" t="str">
        <f>+$E$1</f>
        <v>Exh. MCC-2r</v>
      </c>
      <c r="M1" s="3"/>
      <c r="N1" s="226"/>
      <c r="O1" s="226"/>
      <c r="P1" s="226"/>
      <c r="Q1" s="12" t="str">
        <f>+$E$1</f>
        <v>Exh. MCC-2r</v>
      </c>
      <c r="R1" s="25"/>
      <c r="S1" s="3"/>
      <c r="T1" s="3"/>
      <c r="U1" s="12" t="str">
        <f>+$E$1</f>
        <v>Exh. MCC-2r</v>
      </c>
      <c r="V1" s="25"/>
      <c r="W1" s="3"/>
      <c r="X1" s="3"/>
      <c r="Y1" s="12" t="str">
        <f>+$E$1</f>
        <v>Exh. MCC-2r</v>
      </c>
      <c r="Z1" s="25"/>
      <c r="AD1" s="12" t="str">
        <f>+$E$1</f>
        <v>Exh. MCC-2r</v>
      </c>
      <c r="AE1" s="12"/>
      <c r="AF1" s="12"/>
      <c r="AG1" s="12"/>
      <c r="AH1" s="12"/>
      <c r="AI1" s="12" t="str">
        <f>E1</f>
        <v>Exh. MCC-2r</v>
      </c>
      <c r="AJ1" s="12"/>
      <c r="AK1" s="12"/>
      <c r="AL1" s="12"/>
      <c r="AM1" s="12"/>
      <c r="AN1" s="12" t="str">
        <f>+$E$1</f>
        <v>Exh. MCC-2r</v>
      </c>
      <c r="AO1" s="25"/>
      <c r="AP1" s="3"/>
      <c r="AQ1" s="3"/>
      <c r="AR1" s="3"/>
      <c r="AS1" s="3"/>
      <c r="AT1" s="3"/>
      <c r="AU1" s="3"/>
      <c r="AV1" s="3"/>
      <c r="AW1" s="12" t="str">
        <f>+$E$1</f>
        <v>Exh. MCC-2r</v>
      </c>
      <c r="AX1" s="25"/>
      <c r="AY1" s="3"/>
      <c r="AZ1" s="3"/>
      <c r="BA1" s="3"/>
      <c r="BB1" s="12" t="str">
        <f>+$E$1</f>
        <v>Exh. MCC-2r</v>
      </c>
      <c r="BC1" s="1"/>
      <c r="BD1" s="1"/>
      <c r="BE1" s="1"/>
      <c r="BG1" s="12" t="str">
        <f>+$E$1</f>
        <v>Exh. MCC-2r</v>
      </c>
      <c r="BH1" s="25"/>
      <c r="BK1" s="12" t="str">
        <f>+$E$1</f>
        <v>Exh. MCC-2r</v>
      </c>
      <c r="BL1" s="25"/>
      <c r="BO1" s="12" t="str">
        <f>+$E$1</f>
        <v>Exh. MCC-2r</v>
      </c>
      <c r="BP1" s="25"/>
      <c r="BQ1" s="295"/>
      <c r="BR1" s="295"/>
      <c r="BS1" s="12" t="str">
        <f>+$E$1</f>
        <v>Exh. MCC-2r</v>
      </c>
      <c r="BT1" s="25"/>
      <c r="BX1" s="12" t="str">
        <f>+$E$1</f>
        <v>Exh. MCC-2r</v>
      </c>
      <c r="BY1" s="25"/>
      <c r="CC1" s="12" t="str">
        <f>+$E$1</f>
        <v>Exh. MCC-2r</v>
      </c>
      <c r="CD1" s="25"/>
      <c r="CH1" s="12" t="str">
        <f>+$E$1</f>
        <v>Exh. MCC-2r</v>
      </c>
      <c r="CI1" s="25"/>
      <c r="CM1" s="12" t="str">
        <f>+$E$1</f>
        <v>Exh. MCC-2r</v>
      </c>
      <c r="CN1" s="25"/>
      <c r="CR1" s="12" t="str">
        <f>+$E$1</f>
        <v>Exh. MCC-2r</v>
      </c>
      <c r="CS1" s="25"/>
      <c r="CW1" s="12" t="str">
        <f>+$E$1</f>
        <v>Exh. MCC-2r</v>
      </c>
      <c r="CX1" s="1"/>
      <c r="CY1" s="1"/>
      <c r="CZ1" s="1"/>
      <c r="DB1" s="12" t="str">
        <f>+$E$1</f>
        <v>Exh. MCC-2r</v>
      </c>
      <c r="DC1" s="1"/>
      <c r="DD1" s="1"/>
      <c r="DE1" s="1"/>
      <c r="DG1" s="12" t="str">
        <f>+$E$1</f>
        <v>Exh. MCC-2r</v>
      </c>
      <c r="DH1" s="1"/>
      <c r="DI1" s="1"/>
      <c r="DJ1" s="1"/>
      <c r="DL1" s="12" t="str">
        <f>+$E$1</f>
        <v>Exh. MCC-2r</v>
      </c>
      <c r="DP1" s="12" t="str">
        <f>+$E$1</f>
        <v>Exh. MCC-2r</v>
      </c>
    </row>
    <row r="2" spans="1:120" ht="15.75">
      <c r="A2" s="25"/>
      <c r="B2" s="3"/>
      <c r="C2" s="3"/>
      <c r="E2" s="12" t="str">
        <f>'MCC-2r page 1-6'!BB2</f>
        <v>Dockets UE-170033/UG-170034</v>
      </c>
      <c r="F2" s="25"/>
      <c r="G2" s="3"/>
      <c r="H2" s="3"/>
      <c r="I2" s="3"/>
      <c r="J2" s="3"/>
      <c r="L2" s="12" t="str">
        <f>E2</f>
        <v>Dockets UE-170033/UG-170034</v>
      </c>
      <c r="M2" s="3"/>
      <c r="N2" s="226"/>
      <c r="O2" s="226"/>
      <c r="Q2" s="12" t="str">
        <f>E2</f>
        <v>Dockets UE-170033/UG-170034</v>
      </c>
      <c r="R2" s="25"/>
      <c r="S2" s="3"/>
      <c r="U2" s="12" t="str">
        <f>E2</f>
        <v>Dockets UE-170033/UG-170034</v>
      </c>
      <c r="V2" s="25"/>
      <c r="W2" s="870" t="s">
        <v>461</v>
      </c>
      <c r="Y2" s="12" t="str">
        <f>E2</f>
        <v>Dockets UE-170033/UG-170034</v>
      </c>
      <c r="Z2" s="25"/>
      <c r="AA2" s="920" t="s">
        <v>460</v>
      </c>
      <c r="AB2" s="921"/>
      <c r="AD2" s="12" t="str">
        <f>E2</f>
        <v>Dockets UE-170033/UG-170034</v>
      </c>
      <c r="AE2" s="12"/>
      <c r="AF2" s="12"/>
      <c r="AG2" s="12"/>
      <c r="AI2" s="12" t="str">
        <f>E2</f>
        <v>Dockets UE-170033/UG-170034</v>
      </c>
      <c r="AJ2" s="12"/>
      <c r="AK2" s="12"/>
      <c r="AL2" s="12"/>
      <c r="AN2" s="12" t="str">
        <f>E2</f>
        <v>Dockets UE-170033/UG-170034</v>
      </c>
      <c r="AO2" s="25"/>
      <c r="AP2" s="3"/>
      <c r="AQ2" s="3"/>
      <c r="AR2" s="3"/>
      <c r="AS2" s="3"/>
      <c r="AT2" s="3"/>
      <c r="AU2" s="3"/>
      <c r="AW2" s="12" t="str">
        <f>E2</f>
        <v>Dockets UE-170033/UG-170034</v>
      </c>
      <c r="AX2" s="25"/>
      <c r="AY2" s="3"/>
      <c r="AZ2" s="3"/>
      <c r="BB2" s="12" t="str">
        <f>E2</f>
        <v>Dockets UE-170033/UG-170034</v>
      </c>
      <c r="BC2" s="1"/>
      <c r="BD2" s="1"/>
      <c r="BE2" s="1"/>
      <c r="BG2" s="12" t="str">
        <f>E2</f>
        <v>Dockets UE-170033/UG-170034</v>
      </c>
      <c r="BH2" s="25"/>
      <c r="BK2" s="12" t="str">
        <f>E2</f>
        <v>Dockets UE-170033/UG-170034</v>
      </c>
      <c r="BL2" s="25"/>
      <c r="BO2" s="12" t="str">
        <f>E2</f>
        <v>Dockets UE-170033/UG-170034</v>
      </c>
      <c r="BP2" s="25"/>
      <c r="BQ2" s="295"/>
      <c r="BS2" s="12" t="str">
        <f>E2</f>
        <v>Dockets UE-170033/UG-170034</v>
      </c>
      <c r="BT2" s="25"/>
      <c r="BX2" s="12" t="str">
        <f>E2</f>
        <v>Dockets UE-170033/UG-170034</v>
      </c>
      <c r="BY2" s="25"/>
      <c r="CC2" s="12" t="str">
        <f>E2</f>
        <v>Dockets UE-170033/UG-170034</v>
      </c>
      <c r="CD2" s="25"/>
      <c r="CH2" s="12" t="str">
        <f>E2</f>
        <v>Dockets UE-170033/UG-170034</v>
      </c>
      <c r="CI2" s="25"/>
      <c r="CM2" s="12" t="str">
        <f>E2</f>
        <v>Dockets UE-170033/UG-170034</v>
      </c>
      <c r="CN2" s="25"/>
      <c r="CR2" s="12" t="str">
        <f>E2</f>
        <v>Dockets UE-170033/UG-170034</v>
      </c>
      <c r="CS2" s="25"/>
      <c r="CW2" s="12" t="str">
        <f>E2</f>
        <v>Dockets UE-170033/UG-170034</v>
      </c>
      <c r="CX2" s="1"/>
      <c r="CY2" s="1"/>
      <c r="CZ2" s="1"/>
      <c r="DB2" s="12" t="str">
        <f>E2</f>
        <v>Dockets UE-170033/UG-170034</v>
      </c>
      <c r="DC2" s="1"/>
      <c r="DD2" s="1"/>
      <c r="DE2" s="1"/>
      <c r="DG2" s="12" t="str">
        <f>E2</f>
        <v>Dockets UE-170033/UG-170034</v>
      </c>
      <c r="DH2" s="1"/>
      <c r="DI2" s="1"/>
      <c r="DJ2" s="1"/>
      <c r="DL2" s="12" t="str">
        <f>E2</f>
        <v>Dockets UE-170033/UG-170034</v>
      </c>
      <c r="DP2" s="12" t="str">
        <f>DL2</f>
        <v>Dockets UE-170033/UG-170034</v>
      </c>
    </row>
    <row r="3" spans="1:120" ht="14.25" customHeight="1" thickBot="1">
      <c r="A3" s="120"/>
      <c r="B3" s="3"/>
      <c r="C3" s="3"/>
      <c r="D3" s="3"/>
      <c r="E3" s="12" t="s">
        <v>459</v>
      </c>
      <c r="F3" s="120"/>
      <c r="G3" s="916" t="s">
        <v>438</v>
      </c>
      <c r="H3" s="916"/>
      <c r="I3" s="916"/>
      <c r="J3" s="916"/>
      <c r="K3" s="916"/>
      <c r="L3" s="12" t="s">
        <v>458</v>
      </c>
      <c r="M3" s="3"/>
      <c r="N3" s="226"/>
      <c r="O3" s="226"/>
      <c r="P3" s="226"/>
      <c r="Q3" s="12" t="s">
        <v>457</v>
      </c>
      <c r="R3" s="3"/>
      <c r="S3" s="3"/>
      <c r="T3" s="3"/>
      <c r="U3" s="12" t="s">
        <v>456</v>
      </c>
      <c r="V3" s="916" t="s">
        <v>142</v>
      </c>
      <c r="W3" s="916"/>
      <c r="X3" s="916"/>
      <c r="Y3" s="12" t="s">
        <v>455</v>
      </c>
      <c r="AA3" s="916" t="s">
        <v>438</v>
      </c>
      <c r="AB3" s="916"/>
      <c r="AC3" s="916"/>
      <c r="AD3" s="12" t="s">
        <v>454</v>
      </c>
      <c r="AE3" s="916" t="s">
        <v>453</v>
      </c>
      <c r="AF3" s="916"/>
      <c r="AG3" s="916"/>
      <c r="AH3" s="916"/>
      <c r="AI3" s="12" t="s">
        <v>452</v>
      </c>
      <c r="AJ3" s="12"/>
      <c r="AK3" s="12"/>
      <c r="AL3" s="12"/>
      <c r="AM3" s="12"/>
      <c r="AN3" s="12" t="s">
        <v>451</v>
      </c>
      <c r="AO3" s="3"/>
      <c r="AP3" s="3"/>
      <c r="AQ3" s="3"/>
      <c r="AR3" s="3"/>
      <c r="AS3" s="3"/>
      <c r="AT3" s="3"/>
      <c r="AU3" s="3"/>
      <c r="AV3" s="3"/>
      <c r="AW3" s="12" t="s">
        <v>450</v>
      </c>
      <c r="AY3" s="3"/>
      <c r="AZ3" s="3"/>
      <c r="BA3" s="3"/>
      <c r="BB3" s="12" t="s">
        <v>449</v>
      </c>
      <c r="BC3" s="1"/>
      <c r="BD3" s="1"/>
      <c r="BE3" s="1"/>
      <c r="BG3" s="12" t="s">
        <v>448</v>
      </c>
      <c r="BK3" s="12" t="s">
        <v>447</v>
      </c>
      <c r="BL3" s="916" t="s">
        <v>438</v>
      </c>
      <c r="BM3" s="916"/>
      <c r="BN3" s="916"/>
      <c r="BO3" s="12" t="s">
        <v>446</v>
      </c>
      <c r="BS3" s="12" t="s">
        <v>445</v>
      </c>
      <c r="BX3" s="12" t="s">
        <v>444</v>
      </c>
      <c r="CC3" s="12" t="s">
        <v>443</v>
      </c>
      <c r="CH3" s="12" t="s">
        <v>442</v>
      </c>
      <c r="CM3" s="12" t="s">
        <v>441</v>
      </c>
      <c r="CR3" s="12" t="s">
        <v>440</v>
      </c>
      <c r="CT3" s="916" t="s">
        <v>438</v>
      </c>
      <c r="CU3" s="916"/>
      <c r="CV3" s="916"/>
      <c r="CW3" s="12" t="s">
        <v>439</v>
      </c>
      <c r="CX3" s="3"/>
      <c r="CY3" s="916" t="s">
        <v>438</v>
      </c>
      <c r="CZ3" s="916"/>
      <c r="DA3" s="916"/>
      <c r="DB3" s="12" t="s">
        <v>437</v>
      </c>
      <c r="DC3" s="3"/>
      <c r="DD3" s="3"/>
      <c r="DE3" s="3"/>
      <c r="DF3" s="123"/>
      <c r="DG3" s="12" t="s">
        <v>436</v>
      </c>
      <c r="DH3" s="3"/>
      <c r="DI3" s="3"/>
      <c r="DJ3" s="3"/>
      <c r="DK3" s="123"/>
      <c r="DL3" s="12" t="s">
        <v>435</v>
      </c>
      <c r="DM3" s="916" t="s">
        <v>142</v>
      </c>
      <c r="DN3" s="916"/>
      <c r="DO3" s="916"/>
      <c r="DP3" s="12" t="s">
        <v>434</v>
      </c>
    </row>
    <row r="4" spans="1:120" s="123" customFormat="1" ht="13.5" thickBot="1">
      <c r="A4" s="25"/>
      <c r="B4" s="119"/>
      <c r="C4" s="119"/>
      <c r="D4" s="119"/>
      <c r="E4" s="410">
        <f>+'MCC-2r page 1-6'!E14</f>
        <v>13.01</v>
      </c>
      <c r="F4" s="25"/>
      <c r="G4" s="25"/>
      <c r="H4" s="25"/>
      <c r="I4" s="25"/>
      <c r="J4" s="25"/>
      <c r="K4" s="25"/>
      <c r="L4" s="410">
        <f>+'MCC-2r page 1-6'!F14</f>
        <v>13.02</v>
      </c>
      <c r="M4" s="25"/>
      <c r="N4" s="226"/>
      <c r="O4" s="226"/>
      <c r="P4" s="414"/>
      <c r="Q4" s="410">
        <f>+'MCC-2r page 1-6'!G14</f>
        <v>13.03</v>
      </c>
      <c r="R4" s="25"/>
      <c r="S4" s="25"/>
      <c r="T4" s="25"/>
      <c r="U4" s="410">
        <f>+'MCC-2r page 1-6'!H14</f>
        <v>13.04</v>
      </c>
      <c r="V4" s="25"/>
      <c r="W4" s="25"/>
      <c r="X4" s="25"/>
      <c r="Y4" s="410">
        <f>+'MCC-2r page 1-6'!I14</f>
        <v>13.05</v>
      </c>
      <c r="Z4" s="25"/>
      <c r="AA4" s="54"/>
      <c r="AB4" s="54"/>
      <c r="AC4" s="54"/>
      <c r="AD4" s="410">
        <f>+'MCC-2r page 1-6'!J14</f>
        <v>13.06</v>
      </c>
      <c r="AE4" s="916" t="s">
        <v>433</v>
      </c>
      <c r="AF4" s="916"/>
      <c r="AG4" s="916"/>
      <c r="AH4" s="916"/>
      <c r="AI4" s="413" t="s">
        <v>432</v>
      </c>
      <c r="AJ4" s="411"/>
      <c r="AK4" s="412"/>
      <c r="AL4" s="411"/>
      <c r="AM4" s="411"/>
      <c r="AN4" s="410">
        <f>+'MCC-2r page 1-6'!L14</f>
        <v>13.07</v>
      </c>
      <c r="AO4" s="25"/>
      <c r="AP4" s="25"/>
      <c r="AQ4" s="25"/>
      <c r="AR4" s="25"/>
      <c r="AS4" s="25"/>
      <c r="AT4" s="25"/>
      <c r="AU4" s="25"/>
      <c r="AV4" s="25"/>
      <c r="AW4" s="410">
        <f>+'MCC-2r page 1-6'!M14</f>
        <v>13.08</v>
      </c>
      <c r="AX4" s="25"/>
      <c r="AY4" s="25"/>
      <c r="AZ4" s="25"/>
      <c r="BA4" s="25"/>
      <c r="BB4" s="410">
        <f>+'MCC-2r page 1-6'!N14</f>
        <v>13.09</v>
      </c>
      <c r="BC4" s="3"/>
      <c r="BD4" s="3"/>
      <c r="BE4" s="3"/>
      <c r="BG4" s="410">
        <f>+'MCC-2r page 1-6'!O14</f>
        <v>13.1</v>
      </c>
      <c r="BH4" s="25"/>
      <c r="BI4" s="25"/>
      <c r="BJ4" s="25"/>
      <c r="BK4" s="410">
        <f>+'MCC-2r page 1-6'!P14</f>
        <v>13.11</v>
      </c>
      <c r="BL4" s="25"/>
      <c r="BM4" s="3"/>
      <c r="BN4" s="25"/>
      <c r="BO4" s="410">
        <f>+'MCC-2r page 1-6'!Q14</f>
        <v>13.12</v>
      </c>
      <c r="BP4" s="25"/>
      <c r="BQ4" s="25"/>
      <c r="BR4" s="25"/>
      <c r="BS4" s="410">
        <f>+'MCC-2r page 1-6'!R14</f>
        <v>13.13</v>
      </c>
      <c r="BT4" s="411"/>
      <c r="BU4" s="411"/>
      <c r="BV4" s="411"/>
      <c r="BW4" s="411"/>
      <c r="BX4" s="410">
        <f>+'MCC-2r page 1-6'!S14</f>
        <v>13.14</v>
      </c>
      <c r="BY4" s="411"/>
      <c r="BZ4" s="411"/>
      <c r="CA4" s="411"/>
      <c r="CB4" s="411"/>
      <c r="CC4" s="410">
        <f>+'MCC-2r page 1-6'!T14</f>
        <v>13.15</v>
      </c>
      <c r="CD4" s="25"/>
      <c r="CE4" s="25"/>
      <c r="CF4" s="25"/>
      <c r="CG4" s="25"/>
      <c r="CH4" s="410">
        <f>+'MCC-2r page 1-6'!U14</f>
        <v>13.16</v>
      </c>
      <c r="CI4" s="25"/>
      <c r="CJ4" s="25"/>
      <c r="CK4" s="25"/>
      <c r="CL4" s="25"/>
      <c r="CM4" s="410">
        <f>+'MCC-2r page 1-6'!V14</f>
        <v>13.17</v>
      </c>
      <c r="CN4" s="25"/>
      <c r="CO4" s="25"/>
      <c r="CP4" s="25"/>
      <c r="CQ4" s="25"/>
      <c r="CR4" s="410">
        <f>+'MCC-2r page 1-6'!W14</f>
        <v>13.18</v>
      </c>
      <c r="CS4" s="25"/>
      <c r="CT4" s="25"/>
      <c r="CU4" s="25"/>
      <c r="CV4" s="25"/>
      <c r="CW4" s="410">
        <f>+'MCC-2r page 1-6'!X14</f>
        <v>13.19</v>
      </c>
      <c r="CX4" s="3"/>
      <c r="CY4" s="3"/>
      <c r="CZ4" s="3"/>
      <c r="DB4" s="410">
        <f>+'MCC-2r page 1-6'!Y14</f>
        <v>13.2</v>
      </c>
      <c r="DC4" s="3"/>
      <c r="DD4" s="3"/>
      <c r="DE4" s="3"/>
      <c r="DG4" s="410">
        <f>+'MCC-2r page 1-6'!Z14</f>
        <v>13.21</v>
      </c>
      <c r="DH4" s="3"/>
      <c r="DI4" s="3"/>
      <c r="DJ4" s="3"/>
      <c r="DL4" s="410">
        <f>+'MCC-2r page 1-6'!AA14</f>
        <v>13.22</v>
      </c>
      <c r="DP4" s="410" t="s">
        <v>431</v>
      </c>
    </row>
    <row r="5" spans="1:120" s="123" customFormat="1" ht="13.5">
      <c r="B5" s="393" t="s">
        <v>148</v>
      </c>
      <c r="C5" s="114"/>
      <c r="D5" s="114"/>
      <c r="E5" s="114"/>
      <c r="F5" s="384"/>
      <c r="G5" s="26"/>
      <c r="H5" s="26"/>
      <c r="I5" s="393" t="s">
        <v>148</v>
      </c>
      <c r="J5" s="26"/>
      <c r="K5" s="26"/>
      <c r="L5" s="26"/>
      <c r="M5" s="393" t="s">
        <v>148</v>
      </c>
      <c r="N5" s="409"/>
      <c r="O5" s="408"/>
      <c r="P5" s="408"/>
      <c r="Q5" s="408"/>
      <c r="R5" s="393" t="s">
        <v>148</v>
      </c>
      <c r="S5" s="114"/>
      <c r="T5" s="114"/>
      <c r="U5" s="403"/>
      <c r="V5" s="393" t="s">
        <v>148</v>
      </c>
      <c r="W5" s="114"/>
      <c r="X5" s="114"/>
      <c r="Y5" s="114"/>
      <c r="Z5" s="393" t="s">
        <v>148</v>
      </c>
      <c r="AA5" s="114"/>
      <c r="AB5" s="114"/>
      <c r="AC5" s="114"/>
      <c r="AD5" s="407"/>
      <c r="AE5" s="393" t="s">
        <v>148</v>
      </c>
      <c r="AF5" s="114"/>
      <c r="AG5" s="114"/>
      <c r="AH5" s="114"/>
      <c r="AI5" s="114"/>
      <c r="AJ5" s="393" t="s">
        <v>148</v>
      </c>
      <c r="AK5" s="114"/>
      <c r="AL5" s="114"/>
      <c r="AM5" s="114"/>
      <c r="AN5" s="114"/>
      <c r="AO5" s="393" t="s">
        <v>148</v>
      </c>
      <c r="AP5" s="114"/>
      <c r="AQ5" s="114"/>
      <c r="AR5" s="114"/>
      <c r="AS5" s="114"/>
      <c r="AT5" s="114"/>
      <c r="AU5" s="114"/>
      <c r="AV5" s="114"/>
      <c r="AW5" s="114"/>
      <c r="AX5" s="393" t="s">
        <v>148</v>
      </c>
      <c r="AY5" s="400"/>
      <c r="AZ5" s="400"/>
      <c r="BA5" s="400"/>
      <c r="BB5" s="400"/>
      <c r="BC5" s="393" t="s">
        <v>148</v>
      </c>
      <c r="BD5" s="114"/>
      <c r="BE5" s="114"/>
      <c r="BF5" s="114"/>
      <c r="BG5" s="407"/>
      <c r="BH5" s="393" t="s">
        <v>148</v>
      </c>
      <c r="BI5" s="114"/>
      <c r="BJ5" s="114"/>
      <c r="BK5" s="114"/>
      <c r="BL5" s="393" t="s">
        <v>148</v>
      </c>
      <c r="BM5" s="114"/>
      <c r="BN5" s="114"/>
      <c r="BO5" s="114"/>
      <c r="BP5" s="393" t="s">
        <v>148</v>
      </c>
      <c r="BQ5" s="114"/>
      <c r="BR5" s="114"/>
      <c r="BS5" s="114"/>
      <c r="BT5" s="393" t="s">
        <v>148</v>
      </c>
      <c r="BU5" s="399"/>
      <c r="BV5" s="114"/>
      <c r="BW5" s="114"/>
      <c r="BX5" s="114"/>
      <c r="BY5" s="393" t="s">
        <v>148</v>
      </c>
      <c r="BZ5" s="399"/>
      <c r="CA5" s="114"/>
      <c r="CB5" s="114"/>
      <c r="CC5" s="114"/>
      <c r="CD5" s="393" t="s">
        <v>148</v>
      </c>
      <c r="CE5" s="114"/>
      <c r="CF5" s="114"/>
      <c r="CG5" s="114"/>
      <c r="CH5" s="114"/>
      <c r="CI5" s="114" t="s">
        <v>148</v>
      </c>
      <c r="CJ5" s="114"/>
      <c r="CK5" s="114"/>
      <c r="CL5" s="114"/>
      <c r="CM5" s="114"/>
      <c r="CN5" s="393" t="s">
        <v>148</v>
      </c>
      <c r="CO5" s="114"/>
      <c r="CP5" s="114"/>
      <c r="CQ5" s="114"/>
      <c r="CR5" s="114"/>
      <c r="CS5" s="393" t="s">
        <v>148</v>
      </c>
      <c r="CT5" s="114"/>
      <c r="CU5" s="114"/>
      <c r="CV5" s="114"/>
      <c r="CW5" s="114"/>
      <c r="CX5" s="393" t="s">
        <v>148</v>
      </c>
      <c r="CY5" s="114"/>
      <c r="CZ5" s="114"/>
      <c r="DA5" s="114"/>
      <c r="DB5" s="407"/>
      <c r="DC5" s="393" t="s">
        <v>148</v>
      </c>
      <c r="DD5" s="114"/>
      <c r="DE5" s="114"/>
      <c r="DF5" s="114"/>
      <c r="DG5" s="407"/>
      <c r="DH5" s="393" t="s">
        <v>148</v>
      </c>
      <c r="DI5" s="114"/>
      <c r="DJ5" s="114"/>
      <c r="DK5" s="114"/>
      <c r="DL5" s="407"/>
    </row>
    <row r="6" spans="1:120" s="123" customFormat="1" ht="13.5" customHeight="1">
      <c r="B6" s="393" t="s">
        <v>430</v>
      </c>
      <c r="C6" s="406"/>
      <c r="D6" s="406"/>
      <c r="E6" s="406"/>
      <c r="F6" s="384"/>
      <c r="H6" s="384"/>
      <c r="I6" s="384" t="s">
        <v>429</v>
      </c>
      <c r="J6" s="384"/>
      <c r="K6" s="384"/>
      <c r="M6" s="923" t="s">
        <v>428</v>
      </c>
      <c r="N6" s="923"/>
      <c r="O6" s="923"/>
      <c r="P6" s="923"/>
      <c r="Q6" s="923"/>
      <c r="R6" s="393" t="s">
        <v>345</v>
      </c>
      <c r="S6" s="114"/>
      <c r="T6" s="114"/>
      <c r="U6" s="403"/>
      <c r="V6" s="393" t="s">
        <v>427</v>
      </c>
      <c r="W6" s="114"/>
      <c r="X6" s="114"/>
      <c r="Y6" s="406"/>
      <c r="Z6" s="393" t="s">
        <v>426</v>
      </c>
      <c r="AA6" s="114"/>
      <c r="AB6" s="114"/>
      <c r="AC6" s="114"/>
      <c r="AD6" s="406"/>
      <c r="AE6" s="393" t="s">
        <v>425</v>
      </c>
      <c r="AF6" s="392"/>
      <c r="AG6" s="392"/>
      <c r="AH6" s="392"/>
      <c r="AI6" s="392"/>
      <c r="AJ6" s="393" t="s">
        <v>424</v>
      </c>
      <c r="AK6" s="392"/>
      <c r="AL6" s="392"/>
      <c r="AM6" s="392"/>
      <c r="AN6" s="392"/>
      <c r="AO6" s="393" t="s">
        <v>216</v>
      </c>
      <c r="AP6" s="114"/>
      <c r="AQ6" s="114"/>
      <c r="AR6" s="114"/>
      <c r="AS6" s="114"/>
      <c r="AT6" s="114"/>
      <c r="AU6" s="114"/>
      <c r="AV6" s="406"/>
      <c r="AW6" s="406"/>
      <c r="AX6" s="114" t="s">
        <v>423</v>
      </c>
      <c r="AY6" s="400"/>
      <c r="AZ6" s="400"/>
      <c r="BA6" s="400"/>
      <c r="BB6" s="400"/>
      <c r="BC6" s="114" t="s">
        <v>422</v>
      </c>
      <c r="BD6" s="114"/>
      <c r="BE6" s="114"/>
      <c r="BF6" s="114"/>
      <c r="BG6" s="114"/>
      <c r="BH6" s="393" t="s">
        <v>421</v>
      </c>
      <c r="BI6" s="114"/>
      <c r="BJ6" s="114"/>
      <c r="BK6" s="114"/>
      <c r="BL6" s="393" t="s">
        <v>420</v>
      </c>
      <c r="BM6" s="114"/>
      <c r="BN6" s="114"/>
      <c r="BO6" s="406"/>
      <c r="BP6" s="393" t="s">
        <v>419</v>
      </c>
      <c r="BQ6" s="114"/>
      <c r="BR6" s="114"/>
      <c r="BS6" s="114"/>
      <c r="BT6" s="923" t="s">
        <v>418</v>
      </c>
      <c r="BU6" s="923"/>
      <c r="BV6" s="923"/>
      <c r="BW6" s="923"/>
      <c r="BX6" s="923"/>
      <c r="BY6" s="923" t="s">
        <v>417</v>
      </c>
      <c r="BZ6" s="923"/>
      <c r="CA6" s="923"/>
      <c r="CB6" s="923"/>
      <c r="CC6" s="923"/>
      <c r="CD6" s="114" t="s">
        <v>416</v>
      </c>
      <c r="CE6" s="114"/>
      <c r="CF6" s="114"/>
      <c r="CG6" s="114"/>
      <c r="CH6" s="406"/>
      <c r="CI6" s="114" t="s">
        <v>415</v>
      </c>
      <c r="CJ6" s="114"/>
      <c r="CK6" s="114"/>
      <c r="CL6" s="114"/>
      <c r="CM6" s="114"/>
      <c r="CN6" s="114" t="s">
        <v>414</v>
      </c>
      <c r="CO6" s="114"/>
      <c r="CP6" s="114"/>
      <c r="CQ6" s="114"/>
      <c r="CR6" s="406"/>
      <c r="CS6" s="114" t="s">
        <v>413</v>
      </c>
      <c r="CT6" s="114"/>
      <c r="CU6" s="114"/>
      <c r="CV6" s="114"/>
      <c r="CW6" s="406"/>
      <c r="CX6" s="114" t="s">
        <v>412</v>
      </c>
      <c r="CY6" s="114"/>
      <c r="CZ6" s="114"/>
      <c r="DA6" s="114"/>
      <c r="DB6" s="114"/>
      <c r="DC6" s="114" t="s">
        <v>411</v>
      </c>
      <c r="DD6" s="114"/>
      <c r="DE6" s="114"/>
      <c r="DF6" s="114"/>
      <c r="DG6" s="114"/>
      <c r="DH6" s="114" t="s">
        <v>410</v>
      </c>
      <c r="DI6" s="114"/>
      <c r="DJ6" s="114"/>
      <c r="DK6" s="114"/>
      <c r="DL6" s="114"/>
    </row>
    <row r="7" spans="1:120">
      <c r="B7" s="393" t="s">
        <v>409</v>
      </c>
      <c r="C7" s="114"/>
      <c r="D7" s="114"/>
      <c r="E7" s="398"/>
      <c r="F7" s="26"/>
      <c r="G7" s="384"/>
      <c r="H7" s="384"/>
      <c r="I7" s="114" t="str">
        <f>keep_TESTYEAR</f>
        <v>FOR THE TWELVE MONTHS ENDED SEPTEMBER 30, 2016</v>
      </c>
      <c r="J7" s="26"/>
      <c r="K7" s="405"/>
      <c r="L7" s="405"/>
      <c r="M7" s="114" t="str">
        <f>keep_TESTYEAR</f>
        <v>FOR THE TWELVE MONTHS ENDED SEPTEMBER 30, 2016</v>
      </c>
      <c r="N7" s="404"/>
      <c r="O7" s="404"/>
      <c r="P7" s="404"/>
      <c r="Q7" s="404"/>
      <c r="R7" s="114" t="str">
        <f>keep_TESTYEAR</f>
        <v>FOR THE TWELVE MONTHS ENDED SEPTEMBER 30, 2016</v>
      </c>
      <c r="S7" s="114"/>
      <c r="T7" s="114"/>
      <c r="U7" s="403"/>
      <c r="V7" s="114" t="str">
        <f>keep_TESTYEAR</f>
        <v>FOR THE TWELVE MONTHS ENDED SEPTEMBER 30, 2016</v>
      </c>
      <c r="W7" s="114"/>
      <c r="X7" s="114"/>
      <c r="Y7" s="398"/>
      <c r="Z7" s="114" t="str">
        <f>keep_TESTYEAR</f>
        <v>FOR THE TWELVE MONTHS ENDED SEPTEMBER 30, 2016</v>
      </c>
      <c r="AA7" s="114"/>
      <c r="AB7" s="114"/>
      <c r="AC7" s="114"/>
      <c r="AD7" s="398"/>
      <c r="AE7" s="114" t="str">
        <f>keep_TESTYEAR</f>
        <v>FOR THE TWELVE MONTHS ENDED SEPTEMBER 30, 2016</v>
      </c>
      <c r="AF7" s="392"/>
      <c r="AG7" s="392"/>
      <c r="AH7" s="392"/>
      <c r="AI7" s="392"/>
      <c r="AJ7" s="114" t="str">
        <f>keep_TESTYEAR</f>
        <v>FOR THE TWELVE MONTHS ENDED SEPTEMBER 30, 2016</v>
      </c>
      <c r="AK7" s="392"/>
      <c r="AL7" s="392"/>
      <c r="AM7" s="392"/>
      <c r="AN7" s="392"/>
      <c r="AO7" s="114" t="str">
        <f>keep_TESTYEAR</f>
        <v>FOR THE TWELVE MONTHS ENDED SEPTEMBER 30, 2016</v>
      </c>
      <c r="AP7" s="114"/>
      <c r="AQ7" s="114"/>
      <c r="AR7" s="114"/>
      <c r="AS7" s="114"/>
      <c r="AT7" s="114"/>
      <c r="AU7" s="114"/>
      <c r="AV7" s="398"/>
      <c r="AW7" s="398"/>
      <c r="AX7" s="114" t="str">
        <f>keep_TESTYEAR</f>
        <v>FOR THE TWELVE MONTHS ENDED SEPTEMBER 30, 2016</v>
      </c>
      <c r="AY7" s="400"/>
      <c r="AZ7" s="400"/>
      <c r="BA7" s="400"/>
      <c r="BB7" s="400"/>
      <c r="BC7" s="922" t="s">
        <v>409</v>
      </c>
      <c r="BD7" s="922"/>
      <c r="BE7" s="922"/>
      <c r="BF7" s="922"/>
      <c r="BG7" s="922"/>
      <c r="BH7" s="393" t="str">
        <f>keep_TESTYEAR</f>
        <v>FOR THE TWELVE MONTHS ENDED SEPTEMBER 30, 2016</v>
      </c>
      <c r="BI7" s="114"/>
      <c r="BJ7" s="114"/>
      <c r="BK7" s="114"/>
      <c r="BL7" s="114" t="str">
        <f>keep_TESTYEAR</f>
        <v>FOR THE TWELVE MONTHS ENDED SEPTEMBER 30, 2016</v>
      </c>
      <c r="BM7" s="393"/>
      <c r="BN7" s="114"/>
      <c r="BO7" s="398"/>
      <c r="BP7" s="114" t="str">
        <f>keep_TESTYEAR</f>
        <v>FOR THE TWELVE MONTHS ENDED SEPTEMBER 30, 2016</v>
      </c>
      <c r="BQ7" s="114"/>
      <c r="BR7" s="114"/>
      <c r="BS7" s="114"/>
      <c r="BT7" s="114" t="str">
        <f>keep_TESTYEAR</f>
        <v>FOR THE TWELVE MONTHS ENDED SEPTEMBER 30, 2016</v>
      </c>
      <c r="BU7" s="402"/>
      <c r="BV7" s="398"/>
      <c r="BW7" s="398"/>
      <c r="BX7" s="398"/>
      <c r="BY7" s="114" t="str">
        <f>keep_TESTYEAR</f>
        <v>FOR THE TWELVE MONTHS ENDED SEPTEMBER 30, 2016</v>
      </c>
      <c r="BZ7" s="402"/>
      <c r="CA7" s="398"/>
      <c r="CB7" s="398"/>
      <c r="CC7" s="398"/>
      <c r="CD7" s="114" t="str">
        <f>keep_TESTYEAR</f>
        <v>FOR THE TWELVE MONTHS ENDED SEPTEMBER 30, 2016</v>
      </c>
      <c r="CE7" s="114"/>
      <c r="CF7" s="114"/>
      <c r="CG7" s="114"/>
      <c r="CH7" s="398"/>
      <c r="CI7" s="114" t="str">
        <f>keep_TESTYEAR</f>
        <v>FOR THE TWELVE MONTHS ENDED SEPTEMBER 30, 2016</v>
      </c>
      <c r="CJ7" s="114"/>
      <c r="CK7" s="114"/>
      <c r="CL7" s="114"/>
      <c r="CM7" s="114"/>
      <c r="CN7" s="114" t="str">
        <f>keep_TESTYEAR</f>
        <v>FOR THE TWELVE MONTHS ENDED SEPTEMBER 30, 2016</v>
      </c>
      <c r="CO7" s="114"/>
      <c r="CP7" s="114"/>
      <c r="CQ7" s="114"/>
      <c r="CR7" s="398"/>
      <c r="CS7" s="114" t="str">
        <f>keep_TESTYEAR</f>
        <v>FOR THE TWELVE MONTHS ENDED SEPTEMBER 30, 2016</v>
      </c>
      <c r="CT7" s="114"/>
      <c r="CU7" s="114"/>
      <c r="CV7" s="114"/>
      <c r="CW7" s="398"/>
      <c r="CX7" s="922" t="s">
        <v>409</v>
      </c>
      <c r="CY7" s="922"/>
      <c r="CZ7" s="922"/>
      <c r="DA7" s="922"/>
      <c r="DB7" s="922"/>
      <c r="DC7" s="922" t="s">
        <v>409</v>
      </c>
      <c r="DD7" s="922"/>
      <c r="DE7" s="922"/>
      <c r="DF7" s="922"/>
      <c r="DG7" s="922"/>
      <c r="DH7" s="922" t="s">
        <v>409</v>
      </c>
      <c r="DI7" s="922"/>
      <c r="DJ7" s="922"/>
      <c r="DK7" s="922"/>
      <c r="DL7" s="922"/>
    </row>
    <row r="8" spans="1:120" ht="15.75">
      <c r="B8" s="393" t="s">
        <v>408</v>
      </c>
      <c r="C8" s="114"/>
      <c r="D8" s="114"/>
      <c r="E8" s="114"/>
      <c r="F8" s="384"/>
      <c r="G8" s="384"/>
      <c r="H8" s="384"/>
      <c r="I8" s="393" t="str">
        <f>Case_Name</f>
        <v xml:space="preserve">2017 GENERAL RATE CASE </v>
      </c>
      <c r="J8" s="26"/>
      <c r="K8" s="26"/>
      <c r="L8" s="26"/>
      <c r="M8" s="393" t="str">
        <f>+I8</f>
        <v xml:space="preserve">2017 GENERAL RATE CASE </v>
      </c>
      <c r="N8" s="393"/>
      <c r="O8" s="401"/>
      <c r="P8" s="397"/>
      <c r="Q8" s="397"/>
      <c r="R8" s="393" t="str">
        <f>+M8</f>
        <v xml:space="preserve">2017 GENERAL RATE CASE </v>
      </c>
      <c r="S8" s="393"/>
      <c r="T8" s="393"/>
      <c r="U8" s="396"/>
      <c r="V8" s="393" t="str">
        <f>+R8</f>
        <v xml:space="preserve">2017 GENERAL RATE CASE </v>
      </c>
      <c r="W8" s="114"/>
      <c r="X8" s="114"/>
      <c r="Y8" s="398"/>
      <c r="Z8" s="393" t="str">
        <f>+V8</f>
        <v xml:space="preserve">2017 GENERAL RATE CASE </v>
      </c>
      <c r="AA8" s="114"/>
      <c r="AB8" s="114"/>
      <c r="AC8" s="393"/>
      <c r="AD8" s="398"/>
      <c r="AE8" s="114" t="str">
        <f>Z8</f>
        <v xml:space="preserve">2017 GENERAL RATE CASE </v>
      </c>
      <c r="AF8" s="392"/>
      <c r="AG8" s="392"/>
      <c r="AH8" s="392"/>
      <c r="AI8" s="392"/>
      <c r="AJ8" s="114" t="str">
        <f>+Z8</f>
        <v xml:space="preserve">2017 GENERAL RATE CASE </v>
      </c>
      <c r="AK8" s="392"/>
      <c r="AL8" s="392"/>
      <c r="AM8" s="392"/>
      <c r="AN8" s="392"/>
      <c r="AO8" s="393" t="str">
        <f>+AJ8</f>
        <v xml:space="preserve">2017 GENERAL RATE CASE </v>
      </c>
      <c r="AP8" s="114"/>
      <c r="AQ8" s="114"/>
      <c r="AR8" s="114"/>
      <c r="AS8" s="114"/>
      <c r="AT8" s="114"/>
      <c r="AU8" s="114"/>
      <c r="AV8" s="398"/>
      <c r="AW8" s="114"/>
      <c r="AX8" s="114" t="str">
        <f>+AO8</f>
        <v xml:space="preserve">2017 GENERAL RATE CASE </v>
      </c>
      <c r="AY8" s="400"/>
      <c r="AZ8" s="400"/>
      <c r="BA8" s="400"/>
      <c r="BB8" s="400"/>
      <c r="BC8" s="922" t="str">
        <f>+AX8</f>
        <v xml:space="preserve">2017 GENERAL RATE CASE </v>
      </c>
      <c r="BD8" s="922"/>
      <c r="BE8" s="922"/>
      <c r="BF8" s="922"/>
      <c r="BG8" s="922"/>
      <c r="BH8" s="393" t="str">
        <f>+BC8</f>
        <v xml:space="preserve">2017 GENERAL RATE CASE </v>
      </c>
      <c r="BI8" s="114"/>
      <c r="BJ8" s="114"/>
      <c r="BK8" s="114"/>
      <c r="BL8" s="393" t="str">
        <f>+BH8</f>
        <v xml:space="preserve">2017 GENERAL RATE CASE </v>
      </c>
      <c r="BM8" s="393"/>
      <c r="BN8" s="114"/>
      <c r="BO8" s="114"/>
      <c r="BP8" s="393" t="str">
        <f>+BL8</f>
        <v xml:space="preserve">2017 GENERAL RATE CASE </v>
      </c>
      <c r="BQ8" s="114"/>
      <c r="BR8" s="114"/>
      <c r="BS8" s="114"/>
      <c r="BT8" s="393" t="str">
        <f>+BP8</f>
        <v xml:space="preserve">2017 GENERAL RATE CASE </v>
      </c>
      <c r="BU8" s="399"/>
      <c r="BV8" s="114"/>
      <c r="BW8" s="114"/>
      <c r="BX8" s="114"/>
      <c r="BY8" s="393" t="str">
        <f>+BT8</f>
        <v xml:space="preserve">2017 GENERAL RATE CASE </v>
      </c>
      <c r="BZ8" s="399"/>
      <c r="CA8" s="114"/>
      <c r="CB8" s="114"/>
      <c r="CC8" s="114"/>
      <c r="CD8" s="393" t="str">
        <f>+BY8</f>
        <v xml:space="preserve">2017 GENERAL RATE CASE </v>
      </c>
      <c r="CE8" s="114"/>
      <c r="CF8" s="114"/>
      <c r="CG8" s="114"/>
      <c r="CH8" s="398"/>
      <c r="CI8" s="114" t="str">
        <f>+CD8</f>
        <v xml:space="preserve">2017 GENERAL RATE CASE </v>
      </c>
      <c r="CJ8" s="114"/>
      <c r="CK8" s="114"/>
      <c r="CL8" s="114"/>
      <c r="CM8" s="114"/>
      <c r="CN8" s="393" t="str">
        <f>+CI8</f>
        <v xml:space="preserve">2017 GENERAL RATE CASE </v>
      </c>
      <c r="CO8" s="114"/>
      <c r="CP8" s="114"/>
      <c r="CQ8" s="114"/>
      <c r="CR8" s="114"/>
      <c r="CS8" s="393" t="str">
        <f>+CN8</f>
        <v xml:space="preserve">2017 GENERAL RATE CASE </v>
      </c>
      <c r="CT8" s="114"/>
      <c r="CU8" s="114"/>
      <c r="CV8" s="114"/>
      <c r="CW8" s="114"/>
      <c r="CX8" s="922" t="str">
        <f>+CS8</f>
        <v xml:space="preserve">2017 GENERAL RATE CASE </v>
      </c>
      <c r="CY8" s="922"/>
      <c r="CZ8" s="922"/>
      <c r="DA8" s="922"/>
      <c r="DB8" s="922"/>
      <c r="DC8" s="922" t="str">
        <f>+CX8</f>
        <v xml:space="preserve">2017 GENERAL RATE CASE </v>
      </c>
      <c r="DD8" s="922"/>
      <c r="DE8" s="922"/>
      <c r="DF8" s="922"/>
      <c r="DG8" s="922"/>
      <c r="DH8" s="922" t="str">
        <f>+DC8</f>
        <v xml:space="preserve">2017 GENERAL RATE CASE </v>
      </c>
      <c r="DI8" s="922"/>
      <c r="DJ8" s="922"/>
      <c r="DK8" s="922"/>
      <c r="DL8" s="922"/>
    </row>
    <row r="9" spans="1:120" ht="15.75">
      <c r="A9" s="25"/>
      <c r="B9" s="25"/>
      <c r="C9" s="25"/>
      <c r="D9" s="25"/>
      <c r="E9" s="25"/>
      <c r="F9" s="25"/>
      <c r="G9" s="25"/>
      <c r="H9" s="25"/>
      <c r="I9" s="25"/>
      <c r="J9" s="25"/>
      <c r="K9" s="25"/>
      <c r="L9" s="25"/>
      <c r="M9" s="25"/>
      <c r="N9" s="397"/>
      <c r="O9" s="397"/>
      <c r="P9" s="397"/>
      <c r="Q9" s="397"/>
      <c r="R9" s="25"/>
      <c r="S9" s="396"/>
      <c r="T9" s="385"/>
      <c r="U9" s="395"/>
      <c r="V9" s="25"/>
      <c r="W9" s="385"/>
      <c r="X9" s="93"/>
      <c r="Y9" s="391" t="s">
        <v>144</v>
      </c>
      <c r="Z9" s="25"/>
      <c r="AA9" s="394"/>
      <c r="AB9" s="394"/>
      <c r="AC9" s="54"/>
      <c r="AD9" s="54"/>
      <c r="AE9" s="393"/>
      <c r="AF9" s="392"/>
      <c r="AG9" s="392"/>
      <c r="AH9" s="392"/>
      <c r="AI9" s="392"/>
      <c r="AJ9" s="393"/>
      <c r="AK9" s="392"/>
      <c r="AL9" s="392"/>
      <c r="AM9" s="392"/>
      <c r="AN9" s="392"/>
      <c r="AO9" s="25"/>
      <c r="AP9" s="25"/>
      <c r="AQ9" s="26"/>
      <c r="AR9" s="26"/>
      <c r="AS9" s="26"/>
      <c r="AT9" s="26"/>
      <c r="AU9" s="26"/>
      <c r="AV9" s="26"/>
      <c r="AW9" s="391" t="s">
        <v>144</v>
      </c>
      <c r="AX9" s="25"/>
      <c r="AY9" s="25"/>
      <c r="AZ9" s="25"/>
      <c r="BA9" s="25"/>
      <c r="BB9" s="391" t="s">
        <v>144</v>
      </c>
      <c r="BC9" s="1"/>
      <c r="BD9" s="1"/>
      <c r="BE9" s="1"/>
      <c r="BF9" s="1"/>
      <c r="BG9" s="1"/>
      <c r="BH9" s="25"/>
      <c r="BI9" s="25"/>
      <c r="BJ9" s="25"/>
      <c r="BK9" s="391" t="s">
        <v>144</v>
      </c>
      <c r="BL9" s="25"/>
      <c r="BM9" s="25"/>
      <c r="BN9" s="25"/>
      <c r="BO9" s="25"/>
      <c r="BP9" s="25"/>
      <c r="BQ9" s="25"/>
      <c r="BR9" s="25"/>
      <c r="BS9" s="25"/>
      <c r="BT9" s="25"/>
      <c r="BU9" s="25"/>
      <c r="BV9" s="25"/>
      <c r="BW9" s="25"/>
      <c r="BX9" s="25"/>
      <c r="BY9" s="25"/>
      <c r="BZ9" s="25"/>
      <c r="CA9" s="25"/>
      <c r="CB9" s="25"/>
      <c r="CC9" s="25"/>
      <c r="CD9" s="25"/>
      <c r="CE9" s="385"/>
      <c r="CH9" s="391" t="s">
        <v>144</v>
      </c>
      <c r="CI9" s="25"/>
      <c r="CJ9" s="25"/>
      <c r="CK9" s="25"/>
      <c r="CL9" s="25"/>
      <c r="CM9" s="391" t="s">
        <v>144</v>
      </c>
      <c r="CN9" s="390"/>
      <c r="CO9" s="385"/>
      <c r="CP9" s="385"/>
      <c r="CQ9" s="25"/>
      <c r="CR9" s="25"/>
      <c r="CS9" s="390"/>
      <c r="CT9" s="385"/>
      <c r="CU9" s="385"/>
      <c r="CV9" s="25"/>
      <c r="CW9" s="25"/>
      <c r="CX9" s="1"/>
      <c r="CY9" s="1"/>
      <c r="CZ9" s="1"/>
      <c r="DA9" s="1"/>
      <c r="DB9" s="1"/>
      <c r="DC9" s="1"/>
      <c r="DD9" s="1"/>
      <c r="DE9" s="1"/>
      <c r="DF9" s="1"/>
      <c r="DG9" s="1"/>
      <c r="DH9" s="1"/>
      <c r="DI9" s="1"/>
      <c r="DJ9" s="1"/>
      <c r="DK9" s="1"/>
      <c r="DL9" s="1"/>
    </row>
    <row r="10" spans="1:120" ht="15">
      <c r="A10" s="384" t="s">
        <v>99</v>
      </c>
      <c r="B10" s="25"/>
      <c r="C10" s="26"/>
      <c r="D10" s="104"/>
      <c r="E10" s="104"/>
      <c r="F10" s="384" t="s">
        <v>99</v>
      </c>
      <c r="G10" s="385"/>
      <c r="H10" s="385"/>
      <c r="I10" s="385"/>
      <c r="J10" s="25"/>
      <c r="K10" s="25"/>
      <c r="L10" s="26"/>
      <c r="M10" s="389" t="s">
        <v>99</v>
      </c>
      <c r="N10" s="388"/>
      <c r="O10" s="388"/>
      <c r="P10" s="387"/>
      <c r="Q10" s="387"/>
      <c r="R10" s="26" t="s">
        <v>99</v>
      </c>
      <c r="S10" s="25"/>
      <c r="T10" s="3"/>
      <c r="U10" s="386"/>
      <c r="V10" s="26" t="s">
        <v>99</v>
      </c>
      <c r="W10" s="25"/>
      <c r="X10" s="102"/>
      <c r="Z10" s="26" t="s">
        <v>99</v>
      </c>
      <c r="AA10" s="54"/>
      <c r="AB10" s="26"/>
      <c r="AC10" s="54"/>
      <c r="AD10" s="54"/>
      <c r="AE10" s="384" t="s">
        <v>99</v>
      </c>
      <c r="AF10" s="25"/>
      <c r="AG10" s="384"/>
      <c r="AH10" s="384"/>
      <c r="AI10" s="384"/>
      <c r="AJ10" s="384" t="s">
        <v>99</v>
      </c>
      <c r="AK10" s="25"/>
      <c r="AL10" s="384"/>
      <c r="AM10" s="384"/>
      <c r="AN10" s="384"/>
      <c r="AO10" s="26" t="s">
        <v>99</v>
      </c>
      <c r="AP10" s="25"/>
      <c r="AQ10" s="26" t="s">
        <v>404</v>
      </c>
      <c r="AR10" s="26" t="s">
        <v>407</v>
      </c>
      <c r="AS10" s="26" t="s">
        <v>405</v>
      </c>
      <c r="AT10" s="26" t="s">
        <v>406</v>
      </c>
      <c r="AU10" s="26" t="s">
        <v>405</v>
      </c>
      <c r="AV10" s="26" t="s">
        <v>404</v>
      </c>
      <c r="AW10" s="26" t="s">
        <v>403</v>
      </c>
      <c r="AX10" s="384" t="s">
        <v>99</v>
      </c>
      <c r="AY10" s="25"/>
      <c r="BA10" s="384" t="s">
        <v>396</v>
      </c>
      <c r="BC10" s="20" t="s">
        <v>99</v>
      </c>
      <c r="BD10" s="20"/>
      <c r="BE10" s="20"/>
      <c r="BF10" s="20"/>
      <c r="BG10" s="20"/>
      <c r="BH10" s="384" t="s">
        <v>99</v>
      </c>
      <c r="BI10" s="385"/>
      <c r="BJ10" s="385"/>
      <c r="BK10" s="25"/>
      <c r="BL10" s="384" t="s">
        <v>99</v>
      </c>
      <c r="BM10" s="25"/>
      <c r="BN10" s="25"/>
      <c r="BO10" s="25"/>
      <c r="BP10" s="384" t="s">
        <v>99</v>
      </c>
      <c r="BQ10" s="385"/>
      <c r="BR10" s="385"/>
      <c r="BS10" s="25"/>
      <c r="BT10" s="384" t="s">
        <v>99</v>
      </c>
      <c r="BU10" s="25"/>
      <c r="BV10" s="25"/>
      <c r="BW10" s="25"/>
      <c r="BX10" s="25"/>
      <c r="BY10" s="384" t="s">
        <v>99</v>
      </c>
      <c r="BZ10" s="25"/>
      <c r="CA10" s="25"/>
      <c r="CB10" s="25"/>
      <c r="CC10" s="25"/>
      <c r="CD10" s="384" t="s">
        <v>99</v>
      </c>
      <c r="CE10" s="25"/>
      <c r="CF10" s="916"/>
      <c r="CG10" s="916"/>
      <c r="CH10" s="916"/>
      <c r="CI10" s="384" t="s">
        <v>99</v>
      </c>
      <c r="CJ10" s="25"/>
      <c r="CK10" s="103"/>
      <c r="CL10" s="104"/>
      <c r="CM10" s="383"/>
      <c r="CN10" s="26" t="s">
        <v>99</v>
      </c>
      <c r="CO10" s="25"/>
      <c r="CP10" s="25"/>
      <c r="CQ10" s="25"/>
      <c r="CR10" s="383"/>
      <c r="CS10" s="26" t="s">
        <v>99</v>
      </c>
      <c r="CT10" s="25"/>
      <c r="CU10" s="25"/>
      <c r="CV10" s="25"/>
      <c r="CW10" s="383"/>
      <c r="CX10" s="20" t="s">
        <v>99</v>
      </c>
      <c r="CY10" s="20"/>
      <c r="CZ10" s="20"/>
      <c r="DA10" s="20"/>
      <c r="DB10" s="20"/>
      <c r="DC10" s="20" t="s">
        <v>99</v>
      </c>
      <c r="DD10" s="20"/>
      <c r="DE10" s="20"/>
      <c r="DF10" s="20"/>
      <c r="DG10" s="20"/>
      <c r="DH10" s="381" t="s">
        <v>99</v>
      </c>
      <c r="DI10" s="380"/>
      <c r="DJ10" s="380"/>
      <c r="DK10" s="382"/>
      <c r="DL10" s="355"/>
      <c r="DM10" s="381" t="s">
        <v>99</v>
      </c>
      <c r="DN10" s="380"/>
    </row>
    <row r="11" spans="1:120">
      <c r="A11" s="370" t="s">
        <v>58</v>
      </c>
      <c r="B11" s="369" t="s">
        <v>391</v>
      </c>
      <c r="C11" s="369"/>
      <c r="D11" s="368" t="s">
        <v>66</v>
      </c>
      <c r="E11" s="368"/>
      <c r="F11" s="370" t="s">
        <v>58</v>
      </c>
      <c r="G11" s="369" t="s">
        <v>391</v>
      </c>
      <c r="H11" s="369"/>
      <c r="I11" s="369"/>
      <c r="J11" s="369"/>
      <c r="K11" s="369"/>
      <c r="L11" s="368"/>
      <c r="M11" s="361" t="s">
        <v>58</v>
      </c>
      <c r="N11" s="379" t="s">
        <v>391</v>
      </c>
      <c r="O11" s="361"/>
      <c r="P11" s="378"/>
      <c r="Q11" s="363" t="s">
        <v>66</v>
      </c>
      <c r="R11" s="368" t="s">
        <v>58</v>
      </c>
      <c r="S11" s="373" t="s">
        <v>391</v>
      </c>
      <c r="T11" s="165"/>
      <c r="U11" s="377" t="s">
        <v>394</v>
      </c>
      <c r="V11" s="368" t="s">
        <v>58</v>
      </c>
      <c r="W11" s="373" t="s">
        <v>391</v>
      </c>
      <c r="X11" s="368"/>
      <c r="Y11" s="368" t="s">
        <v>394</v>
      </c>
      <c r="Z11" s="368" t="s">
        <v>58</v>
      </c>
      <c r="AA11" s="371" t="s">
        <v>391</v>
      </c>
      <c r="AB11" s="368" t="s">
        <v>393</v>
      </c>
      <c r="AC11" s="368" t="s">
        <v>392</v>
      </c>
      <c r="AD11" s="376" t="s">
        <v>66</v>
      </c>
      <c r="AE11" s="368" t="s">
        <v>58</v>
      </c>
      <c r="AF11" s="369" t="s">
        <v>391</v>
      </c>
      <c r="AG11" s="368" t="s">
        <v>393</v>
      </c>
      <c r="AH11" s="368" t="s">
        <v>402</v>
      </c>
      <c r="AI11" s="370" t="s">
        <v>66</v>
      </c>
      <c r="AJ11" s="368" t="s">
        <v>58</v>
      </c>
      <c r="AK11" s="369" t="s">
        <v>391</v>
      </c>
      <c r="AL11" s="368" t="s">
        <v>393</v>
      </c>
      <c r="AM11" s="368" t="s">
        <v>392</v>
      </c>
      <c r="AN11" s="370" t="s">
        <v>66</v>
      </c>
      <c r="AO11" s="368" t="s">
        <v>58</v>
      </c>
      <c r="AP11" s="368" t="s">
        <v>401</v>
      </c>
      <c r="AQ11" s="368" t="s">
        <v>400</v>
      </c>
      <c r="AR11" s="368" t="s">
        <v>139</v>
      </c>
      <c r="AS11" s="368" t="s">
        <v>399</v>
      </c>
      <c r="AT11" s="368" t="s">
        <v>139</v>
      </c>
      <c r="AU11" s="368" t="s">
        <v>398</v>
      </c>
      <c r="AV11" s="368" t="s">
        <v>139</v>
      </c>
      <c r="AW11" s="368" t="s">
        <v>397</v>
      </c>
      <c r="AX11" s="368" t="s">
        <v>58</v>
      </c>
      <c r="AY11" s="373" t="s">
        <v>391</v>
      </c>
      <c r="AZ11" s="375" t="s">
        <v>140</v>
      </c>
      <c r="BA11" s="374" t="s">
        <v>392</v>
      </c>
      <c r="BB11" s="370" t="s">
        <v>66</v>
      </c>
      <c r="BC11" s="366" t="s">
        <v>58</v>
      </c>
      <c r="BD11" s="366" t="s">
        <v>391</v>
      </c>
      <c r="BE11" s="365" t="s">
        <v>393</v>
      </c>
      <c r="BF11" s="365" t="s">
        <v>392</v>
      </c>
      <c r="BG11" s="365" t="s">
        <v>66</v>
      </c>
      <c r="BH11" s="370" t="s">
        <v>58</v>
      </c>
      <c r="BI11" s="371" t="s">
        <v>391</v>
      </c>
      <c r="BJ11" s="368"/>
      <c r="BK11" s="372" t="s">
        <v>394</v>
      </c>
      <c r="BL11" s="368" t="s">
        <v>58</v>
      </c>
      <c r="BM11" s="371" t="s">
        <v>391</v>
      </c>
      <c r="BN11" s="373"/>
      <c r="BO11" s="372" t="s">
        <v>394</v>
      </c>
      <c r="BP11" s="370" t="s">
        <v>58</v>
      </c>
      <c r="BQ11" s="369" t="s">
        <v>391</v>
      </c>
      <c r="BR11" s="369"/>
      <c r="BS11" s="368" t="s">
        <v>394</v>
      </c>
      <c r="BT11" s="368" t="s">
        <v>58</v>
      </c>
      <c r="BU11" s="371" t="s">
        <v>391</v>
      </c>
      <c r="BV11" s="370" t="s">
        <v>140</v>
      </c>
      <c r="BW11" s="370" t="s">
        <v>396</v>
      </c>
      <c r="BX11" s="370" t="s">
        <v>66</v>
      </c>
      <c r="BY11" s="368" t="s">
        <v>58</v>
      </c>
      <c r="BZ11" s="371" t="s">
        <v>391</v>
      </c>
      <c r="CA11" s="370" t="s">
        <v>140</v>
      </c>
      <c r="CB11" s="370" t="s">
        <v>392</v>
      </c>
      <c r="CC11" s="370" t="s">
        <v>66</v>
      </c>
      <c r="CD11" s="370" t="s">
        <v>58</v>
      </c>
      <c r="CE11" s="369" t="s">
        <v>391</v>
      </c>
      <c r="CF11" s="368" t="s">
        <v>393</v>
      </c>
      <c r="CG11" s="368" t="s">
        <v>395</v>
      </c>
      <c r="CH11" s="368" t="s">
        <v>66</v>
      </c>
      <c r="CI11" s="368" t="s">
        <v>58</v>
      </c>
      <c r="CJ11" s="369" t="s">
        <v>391</v>
      </c>
      <c r="CK11" s="368"/>
      <c r="CL11" s="368"/>
      <c r="CM11" s="367" t="s">
        <v>394</v>
      </c>
      <c r="CN11" s="368" t="s">
        <v>58</v>
      </c>
      <c r="CO11" s="369" t="s">
        <v>391</v>
      </c>
      <c r="CP11" s="369"/>
      <c r="CQ11" s="368"/>
      <c r="CR11" s="367" t="s">
        <v>394</v>
      </c>
      <c r="CS11" s="368" t="s">
        <v>58</v>
      </c>
      <c r="CT11" s="369" t="s">
        <v>391</v>
      </c>
      <c r="CU11" s="369"/>
      <c r="CV11" s="368"/>
      <c r="CW11" s="367" t="s">
        <v>394</v>
      </c>
      <c r="CX11" s="366" t="s">
        <v>58</v>
      </c>
      <c r="CY11" s="366" t="s">
        <v>391</v>
      </c>
      <c r="CZ11" s="365" t="s">
        <v>393</v>
      </c>
      <c r="DA11" s="365" t="s">
        <v>392</v>
      </c>
      <c r="DB11" s="365" t="s">
        <v>66</v>
      </c>
      <c r="DC11" s="366" t="s">
        <v>58</v>
      </c>
      <c r="DD11" s="366" t="s">
        <v>391</v>
      </c>
      <c r="DE11" s="366" t="s">
        <v>393</v>
      </c>
      <c r="DF11" s="366" t="s">
        <v>392</v>
      </c>
      <c r="DG11" s="365" t="s">
        <v>66</v>
      </c>
      <c r="DH11" s="363" t="s">
        <v>58</v>
      </c>
      <c r="DI11" s="362" t="s">
        <v>391</v>
      </c>
      <c r="DJ11" s="364" t="s">
        <v>393</v>
      </c>
      <c r="DK11" s="361" t="s">
        <v>392</v>
      </c>
      <c r="DL11" s="361" t="s">
        <v>66</v>
      </c>
      <c r="DM11" s="363" t="s">
        <v>58</v>
      </c>
      <c r="DN11" s="362" t="s">
        <v>391</v>
      </c>
      <c r="DP11" s="361" t="s">
        <v>66</v>
      </c>
    </row>
    <row r="12" spans="1:120" ht="15">
      <c r="A12" s="9">
        <v>1</v>
      </c>
      <c r="B12" s="4"/>
      <c r="C12" s="4"/>
      <c r="D12" s="351"/>
      <c r="E12" s="351"/>
      <c r="F12" s="360"/>
      <c r="G12" s="359" t="s">
        <v>390</v>
      </c>
      <c r="H12" s="49"/>
      <c r="I12" s="49"/>
      <c r="J12" s="3"/>
      <c r="K12" s="28"/>
      <c r="L12" s="3"/>
      <c r="M12" s="88"/>
      <c r="N12" s="358"/>
      <c r="O12" s="358"/>
      <c r="P12" s="358"/>
      <c r="Q12" s="358"/>
      <c r="R12" s="88"/>
      <c r="S12" s="3"/>
      <c r="T12" s="348"/>
      <c r="U12" s="224"/>
      <c r="V12" s="88"/>
      <c r="W12" s="290"/>
      <c r="X12" s="357"/>
      <c r="Y12" s="84"/>
      <c r="Z12" s="88"/>
      <c r="AA12" s="49"/>
      <c r="AB12" s="55"/>
      <c r="AC12" s="55"/>
      <c r="AD12" s="55"/>
      <c r="AE12" s="356"/>
      <c r="AF12" s="55"/>
      <c r="AG12" s="55"/>
      <c r="AH12" s="55"/>
      <c r="AI12" s="55"/>
      <c r="AJ12" s="3"/>
      <c r="AK12" s="137"/>
      <c r="AL12" s="137"/>
      <c r="AM12" s="137"/>
      <c r="AN12" s="137"/>
      <c r="AO12" s="88"/>
      <c r="AP12" s="3"/>
      <c r="AQ12" s="3"/>
      <c r="AR12" s="3"/>
      <c r="AS12" s="3"/>
      <c r="AT12" s="3"/>
      <c r="AU12" s="3"/>
      <c r="AV12" s="3"/>
      <c r="AW12" s="3"/>
      <c r="AY12" s="3"/>
      <c r="AZ12" s="3"/>
      <c r="BA12" s="3"/>
      <c r="BB12" s="224"/>
      <c r="BC12" s="2"/>
      <c r="BD12" s="2"/>
      <c r="BE12" s="2"/>
      <c r="BF12" s="2"/>
      <c r="BG12" s="2"/>
      <c r="BN12" s="71"/>
      <c r="BO12" s="71"/>
      <c r="CD12" s="9"/>
      <c r="CE12" s="49"/>
      <c r="CI12" s="88"/>
      <c r="CJ12" s="88"/>
      <c r="CK12" s="88"/>
      <c r="CL12" s="88"/>
      <c r="CM12" s="88"/>
      <c r="CQ12" s="351"/>
      <c r="CR12" s="351"/>
      <c r="CV12" s="351"/>
      <c r="CW12" s="351"/>
      <c r="CX12" s="2"/>
      <c r="CZ12" s="2"/>
      <c r="DA12" s="2"/>
      <c r="DB12" s="2"/>
      <c r="DC12" s="2"/>
      <c r="DD12" s="2"/>
      <c r="DE12" s="2"/>
      <c r="DF12" s="2"/>
      <c r="DG12" s="2"/>
      <c r="DH12" s="151"/>
      <c r="DI12" s="151"/>
      <c r="DJ12" s="133"/>
      <c r="DK12" s="355"/>
      <c r="DL12" s="354"/>
      <c r="DM12" s="1">
        <v>1</v>
      </c>
      <c r="DN12" s="353" t="s">
        <v>389</v>
      </c>
    </row>
    <row r="13" spans="1:120" ht="13.5">
      <c r="A13" s="124">
        <f t="shared" ref="A13:A44" si="0">+A12+1</f>
        <v>2</v>
      </c>
      <c r="C13" s="3"/>
      <c r="D13" s="3"/>
      <c r="E13" s="3"/>
      <c r="F13" s="9">
        <v>1</v>
      </c>
      <c r="G13" s="3"/>
      <c r="H13" s="352" t="s">
        <v>140</v>
      </c>
      <c r="I13" s="351" t="s">
        <v>388</v>
      </c>
      <c r="J13" s="350" t="s">
        <v>387</v>
      </c>
      <c r="K13" s="9"/>
      <c r="L13" s="3"/>
      <c r="M13" s="9">
        <v>1</v>
      </c>
      <c r="N13" s="349" t="s">
        <v>386</v>
      </c>
      <c r="O13" s="334"/>
      <c r="P13" s="334"/>
      <c r="Q13" s="140"/>
      <c r="R13" s="9">
        <v>1</v>
      </c>
      <c r="S13" s="348" t="s">
        <v>385</v>
      </c>
      <c r="T13" s="347"/>
      <c r="U13" s="44">
        <v>413817759.0187788</v>
      </c>
      <c r="V13" s="9">
        <v>1</v>
      </c>
      <c r="W13" s="290" t="s">
        <v>384</v>
      </c>
      <c r="X13" s="871">
        <f>+'MCC-2r page 1-6'!AW51</f>
        <v>5075734044.5515747</v>
      </c>
      <c r="Y13" s="84" t="s">
        <v>15</v>
      </c>
      <c r="Z13" s="9">
        <v>1</v>
      </c>
      <c r="AA13" s="1" t="s">
        <v>383</v>
      </c>
      <c r="AB13" s="346">
        <v>249419038.22</v>
      </c>
      <c r="AC13" s="875">
        <v>286357197.59971225</v>
      </c>
      <c r="AD13" s="875">
        <f>AC13-AB13</f>
        <v>36938159.379712254</v>
      </c>
      <c r="AE13" s="9">
        <v>1</v>
      </c>
      <c r="AF13" s="332" t="s">
        <v>382</v>
      </c>
      <c r="AG13" s="345"/>
      <c r="AH13" s="345"/>
      <c r="AI13" s="345"/>
      <c r="AJ13" s="9">
        <v>1</v>
      </c>
      <c r="AK13" s="64" t="s">
        <v>381</v>
      </c>
      <c r="AL13" s="21">
        <v>162500</v>
      </c>
      <c r="AM13" s="21">
        <v>76666.666666666672</v>
      </c>
      <c r="AN13" s="21">
        <f>AM13-AL13</f>
        <v>-85833.333333333328</v>
      </c>
      <c r="AO13" s="9">
        <v>1</v>
      </c>
      <c r="AP13" s="3" t="s">
        <v>380</v>
      </c>
      <c r="AQ13" s="9" t="s">
        <v>379</v>
      </c>
      <c r="AR13" s="9" t="s">
        <v>378</v>
      </c>
      <c r="AS13" s="9" t="s">
        <v>378</v>
      </c>
      <c r="AT13" s="9" t="s">
        <v>378</v>
      </c>
      <c r="AU13" s="9" t="s">
        <v>378</v>
      </c>
      <c r="AV13" s="9" t="s">
        <v>378</v>
      </c>
      <c r="AW13" s="3"/>
      <c r="AX13" s="9">
        <v>1</v>
      </c>
      <c r="AY13" s="1" t="s">
        <v>377</v>
      </c>
      <c r="AZ13" s="64"/>
      <c r="BA13" s="64"/>
      <c r="BB13" s="64"/>
      <c r="BC13" s="1">
        <v>1</v>
      </c>
      <c r="BD13" s="1" t="s">
        <v>376</v>
      </c>
      <c r="BE13" s="325">
        <v>117054.47314375022</v>
      </c>
      <c r="BF13" s="325">
        <v>92221.976429313785</v>
      </c>
      <c r="BG13" s="325">
        <f>+BF13-BE13</f>
        <v>-24832.496714436435</v>
      </c>
      <c r="BH13" s="124" t="s">
        <v>373</v>
      </c>
      <c r="BI13" s="4" t="s">
        <v>375</v>
      </c>
      <c r="BJ13" s="4"/>
      <c r="BK13" s="344">
        <v>176605.63064400846</v>
      </c>
      <c r="BL13" s="9">
        <v>1</v>
      </c>
      <c r="BM13" s="49" t="s">
        <v>374</v>
      </c>
      <c r="BN13" s="153"/>
      <c r="BO13" s="122"/>
      <c r="BP13" s="124" t="s">
        <v>373</v>
      </c>
      <c r="BQ13" s="151" t="s">
        <v>372</v>
      </c>
      <c r="BR13" s="151"/>
      <c r="BS13" s="159">
        <v>1736007.1099999975</v>
      </c>
      <c r="BT13" s="9">
        <v>1</v>
      </c>
      <c r="BU13" s="3" t="s">
        <v>371</v>
      </c>
      <c r="BV13" s="44">
        <v>4178643.7106927508</v>
      </c>
      <c r="BW13" s="44">
        <v>4124900.4153809994</v>
      </c>
      <c r="BX13" s="44">
        <f>+BW13-BV13</f>
        <v>-53743.29531175131</v>
      </c>
      <c r="BY13" s="9">
        <v>1</v>
      </c>
      <c r="BZ13" s="3" t="s">
        <v>370</v>
      </c>
      <c r="CA13" s="343">
        <v>6111576.3846948147</v>
      </c>
      <c r="CB13" s="343">
        <v>7934569.3772687921</v>
      </c>
      <c r="CC13" s="343">
        <f>+CB13-CA13</f>
        <v>1822992.9925739774</v>
      </c>
      <c r="CD13" s="9">
        <v>1</v>
      </c>
      <c r="CE13" s="3" t="s">
        <v>369</v>
      </c>
      <c r="CF13" s="121"/>
      <c r="CG13" s="121"/>
      <c r="CH13" s="121"/>
      <c r="CI13" s="9">
        <v>1</v>
      </c>
      <c r="CJ13" s="256" t="s">
        <v>368</v>
      </c>
      <c r="CM13" s="81"/>
      <c r="CN13" s="9">
        <v>1</v>
      </c>
      <c r="CO13" s="174" t="s">
        <v>367</v>
      </c>
      <c r="CQ13" s="341"/>
      <c r="CR13" s="341"/>
      <c r="CS13" s="9">
        <v>1</v>
      </c>
      <c r="CT13" s="342" t="s">
        <v>366</v>
      </c>
      <c r="CV13" s="341"/>
      <c r="CW13" s="341"/>
      <c r="CX13" s="1">
        <v>1</v>
      </c>
      <c r="CY13" s="293" t="s">
        <v>365</v>
      </c>
      <c r="CZ13" s="340"/>
      <c r="DA13" s="340"/>
      <c r="DB13" s="340"/>
      <c r="DC13" s="1">
        <v>1</v>
      </c>
      <c r="DD13" s="248" t="s">
        <v>364</v>
      </c>
      <c r="DE13" s="340"/>
      <c r="DF13" s="340"/>
      <c r="DG13" s="340"/>
      <c r="DH13" s="1">
        <v>1</v>
      </c>
      <c r="DI13" s="339" t="s">
        <v>363</v>
      </c>
      <c r="DJ13" s="314">
        <v>84291892.014198005</v>
      </c>
      <c r="DK13" s="314">
        <v>84328016.972460017</v>
      </c>
      <c r="DL13" s="282">
        <f>DK13-DJ13</f>
        <v>36124.958262011409</v>
      </c>
      <c r="DM13" s="1">
        <v>2</v>
      </c>
      <c r="DN13" s="338"/>
    </row>
    <row r="14" spans="1:120" ht="16.899999999999999" customHeight="1">
      <c r="A14" s="124">
        <f t="shared" si="0"/>
        <v>3</v>
      </c>
      <c r="B14" s="156" t="s">
        <v>362</v>
      </c>
      <c r="C14" s="3"/>
      <c r="D14" s="3"/>
      <c r="E14" s="3"/>
      <c r="F14" s="124">
        <f t="shared" ref="F14:F53" si="1">+F13+1</f>
        <v>2</v>
      </c>
      <c r="G14" s="3"/>
      <c r="H14" s="337" t="s">
        <v>361</v>
      </c>
      <c r="I14" s="337" t="s">
        <v>361</v>
      </c>
      <c r="J14" s="336" t="s">
        <v>360</v>
      </c>
      <c r="K14" s="335"/>
      <c r="L14" s="3"/>
      <c r="M14" s="9">
        <f t="shared" ref="M14:M50" si="2">M13+1</f>
        <v>2</v>
      </c>
      <c r="N14" s="141" t="s">
        <v>359</v>
      </c>
      <c r="O14" s="334"/>
      <c r="P14" s="133" t="s">
        <v>15</v>
      </c>
      <c r="Q14" s="333">
        <v>102287066.92</v>
      </c>
      <c r="R14" s="9">
        <f t="shared" ref="R14:R32" si="3">R13+1</f>
        <v>2</v>
      </c>
      <c r="S14" s="49"/>
      <c r="T14" s="49"/>
      <c r="U14" s="79"/>
      <c r="V14" s="9">
        <f t="shared" ref="V14:V23" si="4">V13+1</f>
        <v>2</v>
      </c>
      <c r="W14" s="290" t="s">
        <v>15</v>
      </c>
      <c r="X14" s="246" t="s">
        <v>15</v>
      </c>
      <c r="Y14" s="19"/>
      <c r="Z14" s="9">
        <f t="shared" ref="Z14:Z42" si="5">Z13+1</f>
        <v>2</v>
      </c>
      <c r="AA14" s="49" t="s">
        <v>358</v>
      </c>
      <c r="AB14" s="182">
        <v>15207047.519823998</v>
      </c>
      <c r="AC14" s="182">
        <v>13232378.856776908</v>
      </c>
      <c r="AD14" s="324">
        <f>+AC14-AB14</f>
        <v>-1974668.6630470902</v>
      </c>
      <c r="AE14" s="9">
        <f t="shared" ref="AE14:AE29" si="6">AE13+1</f>
        <v>2</v>
      </c>
      <c r="AF14" s="332" t="s">
        <v>349</v>
      </c>
      <c r="AG14" s="278"/>
      <c r="AH14" s="278"/>
      <c r="AI14" s="278"/>
      <c r="AJ14" s="9">
        <v>2</v>
      </c>
      <c r="AK14" s="122" t="s">
        <v>357</v>
      </c>
      <c r="AL14" s="216">
        <v>300359.45390300005</v>
      </c>
      <c r="AM14" s="216">
        <v>279442.50856566668</v>
      </c>
      <c r="AN14" s="216">
        <f>AM14-AL14</f>
        <v>-20916.945337333367</v>
      </c>
      <c r="AO14" s="9">
        <f t="shared" ref="AO14:AO29" si="7">AO13+1</f>
        <v>2</v>
      </c>
      <c r="AP14" s="310" t="s">
        <v>855</v>
      </c>
      <c r="AQ14" s="19">
        <v>13270215.639999984</v>
      </c>
      <c r="AR14" s="19">
        <v>2127321374.8900001</v>
      </c>
      <c r="AS14" s="19">
        <v>29723813.52</v>
      </c>
      <c r="AT14" s="19">
        <v>3626759.2399999974</v>
      </c>
      <c r="AU14" s="19">
        <v>352508.76</v>
      </c>
      <c r="AV14" s="331">
        <f>AR14-AS14-AT14-AU14</f>
        <v>2093618293.3700001</v>
      </c>
      <c r="AW14" s="302">
        <f>ROUND(AQ14/AV14,6)</f>
        <v>6.3379999999999999E-3</v>
      </c>
      <c r="AX14" s="9">
        <f t="shared" ref="AX14:AX30" si="8">AX13+1</f>
        <v>2</v>
      </c>
      <c r="AY14" s="49" t="s">
        <v>356</v>
      </c>
      <c r="AZ14" s="64">
        <v>330277.21861834492</v>
      </c>
      <c r="BA14" s="330">
        <v>340657.03287060215</v>
      </c>
      <c r="BB14" s="329">
        <f t="shared" ref="BB14:BB21" si="9">+BA14-AZ14</f>
        <v>10379.814252257231</v>
      </c>
      <c r="BC14" s="1">
        <v>2</v>
      </c>
      <c r="BD14" s="1"/>
      <c r="BE14" s="180"/>
      <c r="BF14" s="180"/>
      <c r="BG14" s="180"/>
      <c r="BH14" s="124">
        <f>BH13+1</f>
        <v>2</v>
      </c>
      <c r="BK14" s="64"/>
      <c r="BL14" s="9">
        <f t="shared" ref="BL14:BL31" si="10">+BL13+1</f>
        <v>2</v>
      </c>
      <c r="BM14" s="49"/>
      <c r="BN14" s="153"/>
      <c r="BO14" s="122"/>
      <c r="BP14" s="124">
        <f t="shared" ref="BP14:BP31" si="11">1+BP13</f>
        <v>2</v>
      </c>
      <c r="BQ14" s="151" t="s">
        <v>355</v>
      </c>
      <c r="BR14" s="151"/>
      <c r="BS14" s="122">
        <v>-353278.49999999959</v>
      </c>
      <c r="BT14" s="9">
        <f t="shared" ref="BT14:BT20" si="12">BT13+1</f>
        <v>2</v>
      </c>
      <c r="BU14" s="3" t="s">
        <v>354</v>
      </c>
      <c r="BV14" s="122">
        <v>2006229.4154838233</v>
      </c>
      <c r="BW14" s="122">
        <v>1958207.9099557111</v>
      </c>
      <c r="BX14" s="122">
        <f>+BW14-BV14</f>
        <v>-48021.505528112175</v>
      </c>
      <c r="BY14" s="9">
        <f>BY13+1</f>
        <v>2</v>
      </c>
      <c r="CA14" s="35"/>
      <c r="CB14" s="35"/>
      <c r="CC14" s="35"/>
      <c r="CD14" s="9">
        <v>2</v>
      </c>
      <c r="CE14" s="265" t="s">
        <v>353</v>
      </c>
      <c r="CF14" s="44">
        <v>4380759.8377278037</v>
      </c>
      <c r="CG14" s="328">
        <v>4511306.4808920929</v>
      </c>
      <c r="CH14" s="328">
        <f t="shared" ref="CH14:CH21" si="13">+CG14-CF14</f>
        <v>130546.64316428918</v>
      </c>
      <c r="CI14" s="9">
        <f t="shared" ref="CI14:CI35" si="14">CI13+1</f>
        <v>2</v>
      </c>
      <c r="CJ14" s="129" t="s">
        <v>352</v>
      </c>
      <c r="CK14" s="173"/>
      <c r="CL14" s="327">
        <v>7483207.9381920006</v>
      </c>
      <c r="CM14" s="121"/>
      <c r="CN14" s="9">
        <v>2</v>
      </c>
      <c r="CO14" s="49" t="s">
        <v>351</v>
      </c>
      <c r="CP14" s="49"/>
      <c r="CQ14" s="79"/>
      <c r="CR14" s="19">
        <v>15271331.540317921</v>
      </c>
      <c r="CS14" s="9">
        <f t="shared" ref="CS14:CS22" si="15">CS13+1</f>
        <v>2</v>
      </c>
      <c r="CT14" s="316"/>
      <c r="CU14" s="49"/>
      <c r="CV14" s="79"/>
      <c r="CW14" s="19"/>
      <c r="CX14" s="1">
        <v>2</v>
      </c>
      <c r="CY14" s="1" t="s">
        <v>350</v>
      </c>
      <c r="CZ14" s="326">
        <v>1047962.0507459998</v>
      </c>
      <c r="DA14" s="326">
        <v>835892.12481449998</v>
      </c>
      <c r="DB14" s="325">
        <f>+DA14-CZ14</f>
        <v>-212069.92593149981</v>
      </c>
      <c r="DC14" s="1">
        <v>2</v>
      </c>
      <c r="DD14" s="293" t="s">
        <v>349</v>
      </c>
      <c r="DE14" s="180"/>
      <c r="DF14" s="180"/>
      <c r="DG14" s="180"/>
      <c r="DH14" s="1">
        <v>2</v>
      </c>
      <c r="DI14" s="89" t="s">
        <v>78</v>
      </c>
      <c r="DJ14" s="71">
        <v>4386765.2</v>
      </c>
      <c r="DK14" s="71">
        <v>4334851.9246400008</v>
      </c>
      <c r="DL14" s="309">
        <f>DK14-DJ14</f>
        <v>-51913.275359999388</v>
      </c>
      <c r="DM14" s="1">
        <v>3</v>
      </c>
      <c r="DN14" s="312" t="s">
        <v>348</v>
      </c>
      <c r="DP14" s="247">
        <v>-485780</v>
      </c>
    </row>
    <row r="15" spans="1:120" ht="18" customHeight="1" thickBot="1">
      <c r="A15" s="124">
        <f t="shared" si="0"/>
        <v>4</v>
      </c>
      <c r="B15" s="190" t="s">
        <v>347</v>
      </c>
      <c r="C15" s="3"/>
      <c r="D15" s="19">
        <v>6318302.8499999996</v>
      </c>
      <c r="E15" s="142"/>
      <c r="F15" s="124">
        <f t="shared" si="1"/>
        <v>3</v>
      </c>
      <c r="G15" s="237">
        <v>42278</v>
      </c>
      <c r="H15" s="41">
        <v>1709553137</v>
      </c>
      <c r="I15" s="41">
        <v>1773384763.7096453</v>
      </c>
      <c r="J15" s="28">
        <f t="shared" ref="J15:J26" si="16">+I15-H15</f>
        <v>63831626.709645271</v>
      </c>
      <c r="K15" s="28"/>
      <c r="L15" s="3"/>
      <c r="M15" s="9">
        <f t="shared" si="2"/>
        <v>3</v>
      </c>
      <c r="N15" s="129" t="s">
        <v>346</v>
      </c>
      <c r="O15" s="173"/>
      <c r="P15" s="133" t="s">
        <v>15</v>
      </c>
      <c r="Q15" s="140">
        <v>58785500.5</v>
      </c>
      <c r="R15" s="9">
        <f t="shared" si="3"/>
        <v>3</v>
      </c>
      <c r="S15" s="74" t="s">
        <v>345</v>
      </c>
      <c r="T15" s="178">
        <v>0.35</v>
      </c>
      <c r="U15" s="69">
        <f>U13*T15</f>
        <v>144836215.65657258</v>
      </c>
      <c r="V15" s="9">
        <f t="shared" si="4"/>
        <v>3</v>
      </c>
      <c r="W15" s="151" t="s">
        <v>344</v>
      </c>
      <c r="X15" s="872">
        <f>SUM(X13:X14)</f>
        <v>5075734044.5515747</v>
      </c>
      <c r="Y15" s="19"/>
      <c r="Z15" s="9">
        <f t="shared" si="5"/>
        <v>3</v>
      </c>
      <c r="AA15" s="49" t="s">
        <v>343</v>
      </c>
      <c r="AB15" s="182">
        <v>55937.910695999999</v>
      </c>
      <c r="AC15" s="182">
        <v>55937.910695999999</v>
      </c>
      <c r="AD15" s="324">
        <f>+AC15-AB15</f>
        <v>0</v>
      </c>
      <c r="AE15" s="9">
        <f t="shared" si="6"/>
        <v>3</v>
      </c>
      <c r="AF15" s="281" t="s">
        <v>342</v>
      </c>
      <c r="AG15" s="323">
        <v>0</v>
      </c>
      <c r="AH15" s="323">
        <v>0</v>
      </c>
      <c r="AI15" s="322">
        <f>AH15-AG15</f>
        <v>0</v>
      </c>
      <c r="AJ15" s="9">
        <v>3</v>
      </c>
      <c r="AK15" s="122" t="s">
        <v>341</v>
      </c>
      <c r="AL15" s="133">
        <f>SUM(AL13:AL14)</f>
        <v>462859.45390300005</v>
      </c>
      <c r="AM15" s="133">
        <f>SUM(AM13:AM14)</f>
        <v>356109.17523233336</v>
      </c>
      <c r="AN15" s="133">
        <f>SUM(AN13:AN14)</f>
        <v>-106750.2786706667</v>
      </c>
      <c r="AO15" s="9">
        <f t="shared" si="7"/>
        <v>3</v>
      </c>
      <c r="AP15" s="310" t="s">
        <v>856</v>
      </c>
      <c r="AQ15" s="71">
        <v>13381338.190000001</v>
      </c>
      <c r="AR15" s="71">
        <v>2006366630.26</v>
      </c>
      <c r="AS15" s="71">
        <v>33059229.91</v>
      </c>
      <c r="AT15" s="71">
        <v>65827878.809999995</v>
      </c>
      <c r="AU15" s="71">
        <v>321888.03000000003</v>
      </c>
      <c r="AV15" s="71">
        <f>AR15-AS15-AT15-AU15</f>
        <v>1907157633.51</v>
      </c>
      <c r="AW15" s="302">
        <f>ROUND(AQ15/AV15,6)</f>
        <v>7.0159999999999997E-3</v>
      </c>
      <c r="AX15" s="9">
        <f t="shared" si="8"/>
        <v>3</v>
      </c>
      <c r="AY15" s="49" t="s">
        <v>340</v>
      </c>
      <c r="AZ15" s="71">
        <v>1539502.5690667895</v>
      </c>
      <c r="BA15" s="227">
        <v>1565461.22893321</v>
      </c>
      <c r="BB15" s="227">
        <f t="shared" si="9"/>
        <v>25958.659866420552</v>
      </c>
      <c r="BC15" s="1">
        <v>3</v>
      </c>
      <c r="BD15" s="1" t="s">
        <v>272</v>
      </c>
      <c r="BE15" s="180"/>
      <c r="BF15" s="180"/>
      <c r="BG15" s="180">
        <f>BG13</f>
        <v>-24832.496714436435</v>
      </c>
      <c r="BH15" s="124">
        <f>BH14+1</f>
        <v>3</v>
      </c>
      <c r="BI15" s="3" t="s">
        <v>158</v>
      </c>
      <c r="BK15" s="321">
        <f>-BK13</f>
        <v>-176605.63064400846</v>
      </c>
      <c r="BL15" s="9">
        <f t="shared" si="10"/>
        <v>3</v>
      </c>
      <c r="BM15" s="49" t="s">
        <v>339</v>
      </c>
      <c r="BN15" s="320">
        <v>0</v>
      </c>
      <c r="BO15" s="319"/>
      <c r="BP15" s="124">
        <f t="shared" si="11"/>
        <v>3</v>
      </c>
      <c r="BQ15" s="151" t="s">
        <v>338</v>
      </c>
      <c r="BS15" s="148">
        <f>SUM(BS13:BS14)</f>
        <v>1382728.609999998</v>
      </c>
      <c r="BT15" s="9">
        <f t="shared" si="12"/>
        <v>3</v>
      </c>
      <c r="BU15" s="49" t="s">
        <v>245</v>
      </c>
      <c r="BV15" s="148">
        <f>SUM(BV13:BV14)</f>
        <v>6184873.1261765743</v>
      </c>
      <c r="BW15" s="148">
        <f>SUM(BW13:BW14)</f>
        <v>6083108.3253367105</v>
      </c>
      <c r="BX15" s="148">
        <f>SUM(BX13:BX14)</f>
        <v>-101764.80083986348</v>
      </c>
      <c r="BY15" s="9">
        <f>BY14+1</f>
        <v>3</v>
      </c>
      <c r="BZ15" s="49" t="s">
        <v>245</v>
      </c>
      <c r="CA15" s="122">
        <f>SUM(CA13:CA14)</f>
        <v>6111576.3846948147</v>
      </c>
      <c r="CB15" s="122">
        <f>SUM(CB13:CB14)</f>
        <v>7934569.3772687921</v>
      </c>
      <c r="CC15" s="122">
        <f>SUM(CC13:CC14)</f>
        <v>1822992.9925739774</v>
      </c>
      <c r="CD15" s="9">
        <v>3</v>
      </c>
      <c r="CE15" s="265" t="s">
        <v>337</v>
      </c>
      <c r="CF15" s="36">
        <v>20419279.131090328</v>
      </c>
      <c r="CG15" s="209">
        <v>20731146.497479629</v>
      </c>
      <c r="CH15" s="274">
        <f t="shared" si="13"/>
        <v>311867.36638930067</v>
      </c>
      <c r="CI15" s="9">
        <f t="shared" si="14"/>
        <v>3</v>
      </c>
      <c r="CJ15" s="151" t="s">
        <v>336</v>
      </c>
      <c r="CK15" s="318">
        <v>2.98E-2</v>
      </c>
      <c r="CL15" s="317">
        <v>222999.59655812162</v>
      </c>
      <c r="CM15" s="121"/>
      <c r="CN15" s="9">
        <v>3</v>
      </c>
      <c r="CO15" s="49" t="s">
        <v>335</v>
      </c>
      <c r="CP15" s="49"/>
      <c r="CQ15" s="79"/>
      <c r="CR15" s="83">
        <v>9200243.6631220803</v>
      </c>
      <c r="CS15" s="9">
        <f t="shared" si="15"/>
        <v>3</v>
      </c>
      <c r="CT15" s="316" t="s">
        <v>334</v>
      </c>
      <c r="CU15" s="49"/>
      <c r="CV15" s="315">
        <v>4252202.91</v>
      </c>
      <c r="CW15" s="122"/>
      <c r="CX15" s="1">
        <v>3</v>
      </c>
      <c r="CY15" s="1" t="s">
        <v>272</v>
      </c>
      <c r="CZ15" s="133">
        <f>SUM(CZ14)</f>
        <v>1047962.0507459998</v>
      </c>
      <c r="DA15" s="133">
        <f>SUM(DA14)</f>
        <v>835892.12481449998</v>
      </c>
      <c r="DB15" s="133">
        <f>SUM(DB14)</f>
        <v>-212069.92593149981</v>
      </c>
      <c r="DC15" s="1">
        <v>3</v>
      </c>
      <c r="DD15" s="281" t="s">
        <v>333</v>
      </c>
      <c r="DE15" s="314">
        <v>2565876.3629749999</v>
      </c>
      <c r="DF15" s="314">
        <v>20603887.664999999</v>
      </c>
      <c r="DG15" s="282">
        <f t="shared" ref="DG15:DG21" si="17">DF15-DE15</f>
        <v>18038011.302024998</v>
      </c>
      <c r="DH15" s="1">
        <v>3</v>
      </c>
      <c r="DI15" s="308" t="s">
        <v>332</v>
      </c>
      <c r="DJ15" s="313">
        <f>DJ13+DJ14</f>
        <v>88678657.214198008</v>
      </c>
      <c r="DK15" s="313">
        <f>DK13+DK14</f>
        <v>88662868.897100016</v>
      </c>
      <c r="DL15" s="313">
        <f>DL13+DL14</f>
        <v>-15788.31709798798</v>
      </c>
      <c r="DM15" s="1">
        <v>4</v>
      </c>
      <c r="DN15" s="312"/>
    </row>
    <row r="16" spans="1:120" ht="15.75" thickTop="1">
      <c r="A16" s="124">
        <f t="shared" si="0"/>
        <v>5</v>
      </c>
      <c r="B16" s="190" t="s">
        <v>331</v>
      </c>
      <c r="C16" s="3"/>
      <c r="D16" s="157">
        <v>54955983.910000004</v>
      </c>
      <c r="E16" s="142"/>
      <c r="F16" s="124">
        <f t="shared" si="1"/>
        <v>4</v>
      </c>
      <c r="G16" s="237">
        <v>42309</v>
      </c>
      <c r="H16" s="41">
        <v>2071074561</v>
      </c>
      <c r="I16" s="41">
        <v>2023200985.8890421</v>
      </c>
      <c r="J16" s="28">
        <f t="shared" si="16"/>
        <v>-47873575.110957861</v>
      </c>
      <c r="K16" s="28"/>
      <c r="L16" s="3"/>
      <c r="M16" s="9">
        <f t="shared" si="2"/>
        <v>4</v>
      </c>
      <c r="N16" s="141" t="s">
        <v>183</v>
      </c>
      <c r="O16" s="173"/>
      <c r="P16" s="133" t="s">
        <v>15</v>
      </c>
      <c r="Q16" s="140">
        <v>84690569.569999993</v>
      </c>
      <c r="R16" s="9">
        <f t="shared" si="3"/>
        <v>4</v>
      </c>
      <c r="S16" s="49" t="s">
        <v>255</v>
      </c>
      <c r="T16" s="3"/>
      <c r="U16" s="36">
        <f>U15</f>
        <v>144836215.65657258</v>
      </c>
      <c r="V16" s="9">
        <f t="shared" si="4"/>
        <v>4</v>
      </c>
      <c r="W16" s="151"/>
      <c r="X16" s="151"/>
      <c r="Y16" s="151"/>
      <c r="Z16" s="9">
        <f t="shared" si="5"/>
        <v>4</v>
      </c>
      <c r="AA16" s="49" t="s">
        <v>330</v>
      </c>
      <c r="AB16" s="182">
        <v>29770695.186882004</v>
      </c>
      <c r="AC16" s="182">
        <v>29770695.186882004</v>
      </c>
      <c r="AD16" s="311">
        <f>+AC16-AB16</f>
        <v>0</v>
      </c>
      <c r="AE16" s="9">
        <f t="shared" si="6"/>
        <v>4</v>
      </c>
      <c r="AF16" s="281" t="s">
        <v>329</v>
      </c>
      <c r="AG16" s="122">
        <v>0</v>
      </c>
      <c r="AH16" s="122">
        <v>-127629534.00980572</v>
      </c>
      <c r="AI16" s="122">
        <f>AH16-AG16</f>
        <v>-127629534.00980572</v>
      </c>
      <c r="AJ16" s="9">
        <v>4</v>
      </c>
      <c r="AK16" s="159"/>
      <c r="AL16" s="133"/>
      <c r="AM16" s="133"/>
      <c r="AN16" s="133"/>
      <c r="AO16" s="9">
        <f t="shared" si="7"/>
        <v>4</v>
      </c>
      <c r="AP16" s="310" t="s">
        <v>857</v>
      </c>
      <c r="AQ16" s="71">
        <v>17507852.960000001</v>
      </c>
      <c r="AR16" s="71">
        <v>2204873602.5399995</v>
      </c>
      <c r="AS16" s="71">
        <v>51568623.43</v>
      </c>
      <c r="AT16" s="71">
        <v>-4047083.2700000033</v>
      </c>
      <c r="AU16" s="71">
        <v>323282.82</v>
      </c>
      <c r="AV16" s="71">
        <f>AR16-AS16-AT16-AU16</f>
        <v>2157028779.5599995</v>
      </c>
      <c r="AW16" s="261">
        <f>ROUND(AQ16/AV16,6)</f>
        <v>8.1169999999999992E-3</v>
      </c>
      <c r="AX16" s="9">
        <f t="shared" si="8"/>
        <v>4</v>
      </c>
      <c r="AY16" s="1" t="s">
        <v>328</v>
      </c>
      <c r="AZ16" s="71">
        <v>675496.77630054636</v>
      </c>
      <c r="BA16" s="227">
        <v>692669.04950833111</v>
      </c>
      <c r="BB16" s="227">
        <f t="shared" si="9"/>
        <v>17172.273207784747</v>
      </c>
      <c r="BC16" s="1">
        <v>4</v>
      </c>
      <c r="BD16" s="1"/>
      <c r="BE16" s="133"/>
      <c r="BF16" s="133"/>
      <c r="BG16" s="133"/>
      <c r="BH16" s="124"/>
      <c r="BL16" s="9">
        <f t="shared" si="10"/>
        <v>4</v>
      </c>
      <c r="BM16" s="49"/>
      <c r="BN16" s="153"/>
      <c r="BO16" s="122"/>
      <c r="BP16" s="124">
        <f t="shared" si="11"/>
        <v>4</v>
      </c>
      <c r="BS16" s="71"/>
      <c r="BT16" s="9">
        <f t="shared" si="12"/>
        <v>4</v>
      </c>
      <c r="BU16" s="49"/>
      <c r="BX16" s="71"/>
      <c r="BY16" s="9">
        <f>BY15+1</f>
        <v>4</v>
      </c>
      <c r="BZ16" s="49"/>
      <c r="CC16" s="71"/>
      <c r="CD16" s="9">
        <v>4</v>
      </c>
      <c r="CE16" s="265" t="s">
        <v>328</v>
      </c>
      <c r="CF16" s="36">
        <v>8959227.0002665874</v>
      </c>
      <c r="CG16" s="209">
        <v>9172906.2088294737</v>
      </c>
      <c r="CH16" s="274">
        <f t="shared" si="13"/>
        <v>213679.20856288634</v>
      </c>
      <c r="CI16" s="9">
        <f t="shared" si="14"/>
        <v>4</v>
      </c>
      <c r="CJ16" s="233" t="s">
        <v>327</v>
      </c>
      <c r="CK16" s="173"/>
      <c r="CL16" s="173"/>
      <c r="CM16" s="205">
        <f>SUM(CL14:CL15)</f>
        <v>7706207.5347501226</v>
      </c>
      <c r="CN16" s="9">
        <v>4</v>
      </c>
      <c r="CO16" s="3" t="s">
        <v>326</v>
      </c>
      <c r="CQ16" s="79"/>
      <c r="CR16" s="148">
        <f>SUM(CR14:CR15)</f>
        <v>24471575.203440003</v>
      </c>
      <c r="CS16" s="9">
        <f t="shared" si="15"/>
        <v>4</v>
      </c>
      <c r="CT16" s="151" t="s">
        <v>325</v>
      </c>
      <c r="CV16" s="79"/>
      <c r="CW16" s="309">
        <f>CV15/5</f>
        <v>850440.58200000005</v>
      </c>
      <c r="CX16" s="1">
        <v>4</v>
      </c>
      <c r="CY16" s="1"/>
      <c r="CZ16" s="133"/>
      <c r="DA16" s="133"/>
      <c r="DB16" s="133"/>
      <c r="DC16" s="1">
        <v>4</v>
      </c>
      <c r="DD16" s="281" t="s">
        <v>324</v>
      </c>
      <c r="DE16" s="133">
        <v>2296590.5674166665</v>
      </c>
      <c r="DF16" s="133">
        <v>0</v>
      </c>
      <c r="DG16" s="133">
        <f t="shared" si="17"/>
        <v>-2296590.5674166665</v>
      </c>
      <c r="DH16" s="1">
        <v>4</v>
      </c>
      <c r="DI16" s="308"/>
      <c r="DJ16" s="133"/>
      <c r="DK16" s="280"/>
      <c r="DL16" s="280"/>
      <c r="DM16" s="1">
        <v>5</v>
      </c>
      <c r="DN16" s="181" t="s">
        <v>159</v>
      </c>
      <c r="DO16" s="307">
        <v>0.35</v>
      </c>
      <c r="DP16" s="247">
        <f>DP14*-DO16</f>
        <v>170023</v>
      </c>
    </row>
    <row r="17" spans="1:120" ht="15">
      <c r="A17" s="124">
        <f t="shared" si="0"/>
        <v>6</v>
      </c>
      <c r="B17" s="190" t="s">
        <v>323</v>
      </c>
      <c r="C17" s="3"/>
      <c r="D17" s="157">
        <v>29011926</v>
      </c>
      <c r="E17" s="142"/>
      <c r="F17" s="124">
        <f t="shared" si="1"/>
        <v>5</v>
      </c>
      <c r="G17" s="237">
        <v>42339</v>
      </c>
      <c r="H17" s="41">
        <v>2293718205</v>
      </c>
      <c r="I17" s="41">
        <v>2338333255.0581527</v>
      </c>
      <c r="J17" s="28">
        <f t="shared" si="16"/>
        <v>44615050.058152676</v>
      </c>
      <c r="K17" s="28"/>
      <c r="L17" s="3"/>
      <c r="M17" s="9">
        <f t="shared" si="2"/>
        <v>5</v>
      </c>
      <c r="N17" s="141" t="s">
        <v>322</v>
      </c>
      <c r="O17" s="173"/>
      <c r="P17" s="133"/>
      <c r="Q17" s="140">
        <v>13257.679999999998</v>
      </c>
      <c r="R17" s="9">
        <f t="shared" si="3"/>
        <v>5</v>
      </c>
      <c r="S17" s="49" t="s">
        <v>15</v>
      </c>
      <c r="T17" s="49"/>
      <c r="U17" s="137" t="s">
        <v>15</v>
      </c>
      <c r="V17" s="9">
        <f t="shared" si="4"/>
        <v>5</v>
      </c>
      <c r="W17" s="290" t="s">
        <v>321</v>
      </c>
      <c r="X17" s="306">
        <f>SUM('EXHIBIT MCC-3r'!K13:K14)</f>
        <v>2.9500000000000002E-2</v>
      </c>
      <c r="Y17" s="305" t="s">
        <v>15</v>
      </c>
      <c r="Z17" s="9">
        <f t="shared" si="5"/>
        <v>5</v>
      </c>
      <c r="AA17" s="49" t="s">
        <v>320</v>
      </c>
      <c r="AB17" s="223">
        <f>SUM(AB13:AB16)</f>
        <v>294452718.83740199</v>
      </c>
      <c r="AC17" s="876">
        <f>SUM(AC13:AC16)</f>
        <v>329416209.55406719</v>
      </c>
      <c r="AD17" s="876">
        <f>SUM(AD13:AD16)</f>
        <v>34963490.716665164</v>
      </c>
      <c r="AE17" s="9">
        <f t="shared" si="6"/>
        <v>5</v>
      </c>
      <c r="AF17" s="271" t="s">
        <v>282</v>
      </c>
      <c r="AG17" s="122">
        <v>0</v>
      </c>
      <c r="AH17" s="122">
        <v>0</v>
      </c>
      <c r="AI17" s="122">
        <f>AH17-AG17</f>
        <v>0</v>
      </c>
      <c r="AJ17" s="9">
        <v>5</v>
      </c>
      <c r="AK17" s="277" t="s">
        <v>319</v>
      </c>
      <c r="AL17" s="133"/>
      <c r="AM17" s="133"/>
      <c r="AN17" s="133">
        <f>AN15</f>
        <v>-106750.2786706667</v>
      </c>
      <c r="AO17" s="9">
        <f t="shared" si="7"/>
        <v>5</v>
      </c>
      <c r="AP17" s="304" t="s">
        <v>318</v>
      </c>
      <c r="AQ17" s="303"/>
      <c r="AR17" s="303"/>
      <c r="AS17" s="303"/>
      <c r="AT17" s="303"/>
      <c r="AU17" s="303"/>
      <c r="AV17" s="243"/>
      <c r="AW17" s="302">
        <f>ROUND(IF(ISERROR(AVERAGE(AW14,AW15,AW16)),0,AVERAGE(AW14,AW15,AW16)),6)</f>
        <v>7.1570000000000002E-3</v>
      </c>
      <c r="AX17" s="9">
        <f t="shared" si="8"/>
        <v>5</v>
      </c>
      <c r="AY17" s="1" t="s">
        <v>315</v>
      </c>
      <c r="AZ17" s="71">
        <v>1814058.848417453</v>
      </c>
      <c r="BA17" s="227">
        <v>1842545.3924215012</v>
      </c>
      <c r="BB17" s="227">
        <f t="shared" si="9"/>
        <v>28486.544004048221</v>
      </c>
      <c r="BC17" s="1">
        <v>5</v>
      </c>
      <c r="BD17" s="1" t="s">
        <v>159</v>
      </c>
      <c r="BE17" s="133"/>
      <c r="BF17" s="185">
        <v>0.35</v>
      </c>
      <c r="BG17" s="216">
        <f>-BG15*BF17</f>
        <v>8691.3738500527506</v>
      </c>
      <c r="BH17" s="124"/>
      <c r="BI17" s="106" t="s">
        <v>186</v>
      </c>
      <c r="BJ17" s="4"/>
      <c r="BK17" s="4"/>
      <c r="BL17" s="9">
        <f t="shared" si="10"/>
        <v>5</v>
      </c>
      <c r="BM17" s="258" t="s">
        <v>317</v>
      </c>
      <c r="BN17" s="257">
        <f>BN15/2</f>
        <v>0</v>
      </c>
      <c r="BO17" s="296"/>
      <c r="BP17" s="124">
        <f t="shared" si="11"/>
        <v>5</v>
      </c>
      <c r="BQ17" s="210" t="s">
        <v>316</v>
      </c>
      <c r="BS17" s="71">
        <v>-4002173.9600000004</v>
      </c>
      <c r="BT17" s="9">
        <f t="shared" si="12"/>
        <v>5</v>
      </c>
      <c r="BU17" s="3" t="s">
        <v>230</v>
      </c>
      <c r="BX17" s="71">
        <f>BX15</f>
        <v>-101764.80083986348</v>
      </c>
      <c r="BY17" s="9">
        <f>BY16+1</f>
        <v>5</v>
      </c>
      <c r="BZ17" s="49" t="s">
        <v>159</v>
      </c>
      <c r="CA17" s="154">
        <v>0.35</v>
      </c>
      <c r="CB17" s="178"/>
      <c r="CC17" s="36">
        <f>-CA17*CC15</f>
        <v>-638047.54740089201</v>
      </c>
      <c r="CD17" s="9">
        <v>5</v>
      </c>
      <c r="CE17" s="265" t="s">
        <v>315</v>
      </c>
      <c r="CF17" s="36">
        <v>24060543.133236647</v>
      </c>
      <c r="CG17" s="209">
        <v>24400551.446550019</v>
      </c>
      <c r="CH17" s="274">
        <f t="shared" si="13"/>
        <v>340008.31331337243</v>
      </c>
      <c r="CI17" s="9">
        <f t="shared" si="14"/>
        <v>5</v>
      </c>
      <c r="CJ17" s="181"/>
      <c r="CK17" s="173"/>
      <c r="CL17" s="173"/>
      <c r="CM17" s="137"/>
      <c r="CN17" s="9">
        <v>5</v>
      </c>
      <c r="CQ17" s="79"/>
      <c r="CR17" s="71"/>
      <c r="CS17" s="9">
        <f t="shared" si="15"/>
        <v>5</v>
      </c>
      <c r="CT17" s="151"/>
      <c r="CV17" s="79"/>
      <c r="CW17" s="71"/>
      <c r="CX17" s="1">
        <v>5</v>
      </c>
      <c r="CY17" s="1"/>
      <c r="CZ17" s="301"/>
      <c r="DA17" s="301"/>
      <c r="DB17" s="301"/>
      <c r="DC17" s="1">
        <v>5</v>
      </c>
      <c r="DD17" s="281" t="s">
        <v>314</v>
      </c>
      <c r="DE17" s="133">
        <v>-41074.731625878645</v>
      </c>
      <c r="DF17" s="133">
        <v>-1199152.1377783362</v>
      </c>
      <c r="DG17" s="133">
        <f t="shared" si="17"/>
        <v>-1158077.4061524575</v>
      </c>
      <c r="DH17" s="1">
        <v>5</v>
      </c>
      <c r="DI17" s="129" t="s">
        <v>313</v>
      </c>
      <c r="DJ17" s="133"/>
      <c r="DK17" s="280"/>
      <c r="DL17" s="122">
        <f>DL15</f>
        <v>-15788.31709798798</v>
      </c>
      <c r="DM17" s="1">
        <v>6</v>
      </c>
      <c r="DN17" s="291"/>
    </row>
    <row r="18" spans="1:120" ht="15.75" thickBot="1">
      <c r="A18" s="124">
        <f t="shared" si="0"/>
        <v>7</v>
      </c>
      <c r="B18" s="190" t="s">
        <v>312</v>
      </c>
      <c r="C18" s="3"/>
      <c r="D18" s="157">
        <v>-29745544</v>
      </c>
      <c r="E18" s="142"/>
      <c r="F18" s="124">
        <f t="shared" si="1"/>
        <v>6</v>
      </c>
      <c r="G18" s="237">
        <v>42370</v>
      </c>
      <c r="H18" s="41">
        <v>2264400226</v>
      </c>
      <c r="I18" s="41">
        <v>2308995643.5126944</v>
      </c>
      <c r="J18" s="28">
        <f t="shared" si="16"/>
        <v>44595417.512694359</v>
      </c>
      <c r="K18" s="28"/>
      <c r="L18" s="3"/>
      <c r="M18" s="9">
        <f t="shared" si="2"/>
        <v>6</v>
      </c>
      <c r="N18" s="141" t="s">
        <v>311</v>
      </c>
      <c r="O18" s="173"/>
      <c r="P18" s="133" t="s">
        <v>15</v>
      </c>
      <c r="Q18" s="140">
        <v>17088658.920000002</v>
      </c>
      <c r="R18" s="9">
        <f t="shared" si="3"/>
        <v>6</v>
      </c>
      <c r="S18" s="3" t="s">
        <v>310</v>
      </c>
      <c r="T18" s="3"/>
      <c r="U18" s="36">
        <v>64183937.829999998</v>
      </c>
      <c r="V18" s="9">
        <f t="shared" si="4"/>
        <v>6</v>
      </c>
      <c r="W18" s="290" t="s">
        <v>309</v>
      </c>
      <c r="Y18" s="873">
        <f>+X15*X17</f>
        <v>149734154.31427145</v>
      </c>
      <c r="Z18" s="9">
        <f t="shared" si="5"/>
        <v>6</v>
      </c>
      <c r="AA18" s="49"/>
      <c r="AB18" s="300"/>
      <c r="AC18" s="300"/>
      <c r="AD18" s="300"/>
      <c r="AE18" s="9">
        <f t="shared" si="6"/>
        <v>6</v>
      </c>
      <c r="AF18" s="245" t="s">
        <v>308</v>
      </c>
      <c r="AG18" s="299">
        <f>SUM(AG15:AG17)</f>
        <v>0</v>
      </c>
      <c r="AH18" s="299">
        <f>SUM(AH15:AH17)</f>
        <v>-127629534.00980572</v>
      </c>
      <c r="AI18" s="299">
        <f>SUM(AI15:AI17)</f>
        <v>-127629534.00980572</v>
      </c>
      <c r="AJ18" s="9">
        <v>6</v>
      </c>
      <c r="AK18" s="277" t="s">
        <v>159</v>
      </c>
      <c r="AL18" s="1"/>
      <c r="AM18" s="298">
        <v>0.35</v>
      </c>
      <c r="AN18" s="216">
        <f>ROUND(-AN17*AM18,0)</f>
        <v>37363</v>
      </c>
      <c r="AO18" s="9">
        <f t="shared" si="7"/>
        <v>6</v>
      </c>
      <c r="AP18" s="3"/>
      <c r="AQ18" s="3"/>
      <c r="AR18" s="3"/>
      <c r="AS18" s="3"/>
      <c r="AT18" s="3"/>
      <c r="AU18" s="3"/>
      <c r="AV18" s="3"/>
      <c r="AW18" s="297"/>
      <c r="AX18" s="9">
        <f t="shared" si="8"/>
        <v>6</v>
      </c>
      <c r="AY18" s="1" t="s">
        <v>306</v>
      </c>
      <c r="AZ18" s="71">
        <v>831692.0644458835</v>
      </c>
      <c r="BA18" s="227">
        <v>842186.36225123261</v>
      </c>
      <c r="BB18" s="227">
        <f t="shared" si="9"/>
        <v>10494.29780534911</v>
      </c>
      <c r="BC18" s="1">
        <v>6</v>
      </c>
      <c r="BD18" s="1"/>
      <c r="BE18" s="133"/>
      <c r="BF18" s="133"/>
      <c r="BG18" s="133"/>
      <c r="BH18" s="124"/>
      <c r="BL18" s="9">
        <f t="shared" si="10"/>
        <v>6</v>
      </c>
      <c r="BM18" s="250" t="s">
        <v>253</v>
      </c>
      <c r="BN18" s="69">
        <v>0</v>
      </c>
      <c r="BO18" s="296"/>
      <c r="BP18" s="124">
        <f t="shared" si="11"/>
        <v>6</v>
      </c>
      <c r="BQ18" s="210" t="s">
        <v>307</v>
      </c>
      <c r="BS18" s="71">
        <v>328215.27999999997</v>
      </c>
      <c r="BT18" s="9">
        <f t="shared" si="12"/>
        <v>6</v>
      </c>
      <c r="BX18" s="79"/>
      <c r="BY18" s="9">
        <f>BY17+1</f>
        <v>6</v>
      </c>
      <c r="BZ18" s="49" t="s">
        <v>158</v>
      </c>
      <c r="CC18" s="175">
        <f>-CC15-CC17</f>
        <v>-1184945.4451730854</v>
      </c>
      <c r="CD18" s="9">
        <v>6</v>
      </c>
      <c r="CE18" s="265" t="s">
        <v>306</v>
      </c>
      <c r="CF18" s="36">
        <v>11030663.555404065</v>
      </c>
      <c r="CG18" s="209">
        <v>11152893.808019754</v>
      </c>
      <c r="CH18" s="274">
        <f t="shared" si="13"/>
        <v>122230.25261568837</v>
      </c>
      <c r="CI18" s="9">
        <f t="shared" si="14"/>
        <v>6</v>
      </c>
      <c r="CJ18" s="256" t="s">
        <v>305</v>
      </c>
      <c r="CK18" s="255"/>
      <c r="CL18" s="255"/>
      <c r="CM18" s="137"/>
      <c r="CN18" s="9">
        <v>6</v>
      </c>
      <c r="CO18" s="295" t="s">
        <v>304</v>
      </c>
      <c r="CP18" s="284">
        <v>0.54659120593235488</v>
      </c>
      <c r="CR18" s="71">
        <f>ROUND(+CP18*CR16,0)</f>
        <v>13375948</v>
      </c>
      <c r="CS18" s="9">
        <f t="shared" si="15"/>
        <v>6</v>
      </c>
      <c r="CT18" s="151" t="s">
        <v>303</v>
      </c>
      <c r="CW18" s="294">
        <f>SUM(CW16:CW17)</f>
        <v>850440.58200000005</v>
      </c>
      <c r="CX18" s="1">
        <v>6</v>
      </c>
      <c r="CY18" s="293" t="s">
        <v>302</v>
      </c>
      <c r="CZ18" s="292"/>
      <c r="DA18" s="180"/>
      <c r="DB18" s="180"/>
      <c r="DC18" s="1">
        <v>6</v>
      </c>
      <c r="DD18" s="281" t="s">
        <v>301</v>
      </c>
      <c r="DE18" s="133">
        <v>31060.331498886484</v>
      </c>
      <c r="DF18" s="133">
        <v>0</v>
      </c>
      <c r="DG18" s="133">
        <f t="shared" si="17"/>
        <v>-31060.331498886484</v>
      </c>
      <c r="DH18" s="1">
        <v>6</v>
      </c>
      <c r="DI18" s="129" t="s">
        <v>213</v>
      </c>
      <c r="DJ18" s="178">
        <v>0.35</v>
      </c>
      <c r="DK18" s="280"/>
      <c r="DL18" s="35">
        <f>ROUND(-DL17*DJ18,0)</f>
        <v>5526</v>
      </c>
      <c r="DM18" s="1">
        <v>7</v>
      </c>
      <c r="DN18" s="291" t="s">
        <v>158</v>
      </c>
      <c r="DP18" s="247">
        <f>-DP14-DP16</f>
        <v>315757</v>
      </c>
    </row>
    <row r="19" spans="1:120" ht="17.25" customHeight="1" thickTop="1" thickBot="1">
      <c r="A19" s="124">
        <f t="shared" si="0"/>
        <v>8</v>
      </c>
      <c r="B19" s="190" t="s">
        <v>300</v>
      </c>
      <c r="C19" s="3"/>
      <c r="D19" s="157">
        <v>-82720471.5</v>
      </c>
      <c r="E19" s="142"/>
      <c r="F19" s="124">
        <f t="shared" si="1"/>
        <v>7</v>
      </c>
      <c r="G19" s="237">
        <v>42401</v>
      </c>
      <c r="H19" s="41">
        <v>1926704963</v>
      </c>
      <c r="I19" s="41">
        <v>2022391040.662766</v>
      </c>
      <c r="J19" s="28">
        <f t="shared" si="16"/>
        <v>95686077.66276598</v>
      </c>
      <c r="K19" s="28"/>
      <c r="L19" s="3"/>
      <c r="M19" s="9">
        <f t="shared" si="2"/>
        <v>7</v>
      </c>
      <c r="N19" s="164" t="s">
        <v>178</v>
      </c>
      <c r="O19" s="173"/>
      <c r="P19" s="133" t="s">
        <v>15</v>
      </c>
      <c r="Q19" s="140">
        <v>-72579362.799999982</v>
      </c>
      <c r="R19" s="9">
        <f t="shared" si="3"/>
        <v>7</v>
      </c>
      <c r="S19" s="3" t="s">
        <v>299</v>
      </c>
      <c r="T19" s="3"/>
      <c r="U19" s="36"/>
      <c r="V19" s="9">
        <f t="shared" si="4"/>
        <v>7</v>
      </c>
      <c r="W19" s="290"/>
      <c r="X19" s="289"/>
      <c r="Y19" s="288"/>
      <c r="Z19" s="9">
        <f t="shared" si="5"/>
        <v>7</v>
      </c>
      <c r="AA19" s="1" t="s">
        <v>298</v>
      </c>
      <c r="AB19" s="182">
        <v>1352124.73</v>
      </c>
      <c r="AC19" s="877">
        <v>1739118.2629811203</v>
      </c>
      <c r="AD19" s="877">
        <f>AC19-AB19</f>
        <v>386993.53298112028</v>
      </c>
      <c r="AE19" s="9">
        <f t="shared" si="6"/>
        <v>7</v>
      </c>
      <c r="AF19" s="230"/>
      <c r="AG19" s="287"/>
      <c r="AH19" s="287"/>
      <c r="AI19" s="287"/>
      <c r="AJ19" s="9">
        <v>7</v>
      </c>
      <c r="AK19" s="277"/>
      <c r="AL19" s="1"/>
      <c r="AM19" s="1"/>
      <c r="AN19" s="133"/>
      <c r="AO19" s="9">
        <f t="shared" si="7"/>
        <v>7</v>
      </c>
      <c r="AP19" s="266" t="s">
        <v>297</v>
      </c>
      <c r="AQ19" s="71"/>
      <c r="AR19" s="71">
        <v>2395339771.079999</v>
      </c>
      <c r="AS19" s="71">
        <v>201125741.739999</v>
      </c>
      <c r="AT19" s="71">
        <v>47841338.950000003</v>
      </c>
      <c r="AU19" s="71">
        <v>324382.2</v>
      </c>
      <c r="AV19" s="71">
        <f>AR19-AS19-AT19-AU19</f>
        <v>2146048308.1900001</v>
      </c>
      <c r="AW19" s="286"/>
      <c r="AX19" s="9">
        <f t="shared" si="8"/>
        <v>7</v>
      </c>
      <c r="AY19" s="1" t="s">
        <v>295</v>
      </c>
      <c r="AZ19" s="71">
        <v>104449.15828380465</v>
      </c>
      <c r="BA19" s="227">
        <v>107443.71395013717</v>
      </c>
      <c r="BB19" s="227">
        <f t="shared" si="9"/>
        <v>2994.555666332526</v>
      </c>
      <c r="BC19" s="1">
        <v>7</v>
      </c>
      <c r="BD19" s="1" t="s">
        <v>158</v>
      </c>
      <c r="BE19" s="133"/>
      <c r="BF19" s="133"/>
      <c r="BG19" s="192">
        <f>-BG15-BG17</f>
        <v>16141.122864383684</v>
      </c>
      <c r="BH19" s="124"/>
      <c r="BL19" s="9">
        <f t="shared" si="10"/>
        <v>7</v>
      </c>
      <c r="BM19" s="49" t="s">
        <v>198</v>
      </c>
      <c r="BN19" s="133">
        <f>+BN17-BN18</f>
        <v>0</v>
      </c>
      <c r="BO19" s="257">
        <f>+BN19</f>
        <v>0</v>
      </c>
      <c r="BP19" s="124">
        <f t="shared" si="11"/>
        <v>7</v>
      </c>
      <c r="BQ19" s="3" t="s">
        <v>296</v>
      </c>
      <c r="BS19" s="194">
        <f>SUM(BS17:BS18)</f>
        <v>-3673958.6800000006</v>
      </c>
      <c r="BT19" s="9">
        <f t="shared" si="12"/>
        <v>7</v>
      </c>
      <c r="BU19" s="49" t="s">
        <v>159</v>
      </c>
      <c r="BV19" s="154">
        <v>0.35</v>
      </c>
      <c r="BW19" s="178"/>
      <c r="BX19" s="36">
        <f>-BV19*BX17</f>
        <v>35617.680293952217</v>
      </c>
      <c r="BY19" s="9"/>
      <c r="CD19" s="9">
        <v>7</v>
      </c>
      <c r="CE19" s="265" t="s">
        <v>295</v>
      </c>
      <c r="CF19" s="36">
        <v>1385463.025825866</v>
      </c>
      <c r="CG19" s="209">
        <v>1422849.8356199341</v>
      </c>
      <c r="CH19" s="274">
        <f t="shared" si="13"/>
        <v>37386.809794068104</v>
      </c>
      <c r="CI19" s="9">
        <f t="shared" si="14"/>
        <v>7</v>
      </c>
      <c r="CJ19" s="129" t="s">
        <v>294</v>
      </c>
      <c r="CK19" s="173"/>
      <c r="CL19" s="79">
        <v>2733666.2376000001</v>
      </c>
      <c r="CM19" s="121"/>
      <c r="CN19" s="9">
        <v>7</v>
      </c>
      <c r="CO19" s="285" t="s">
        <v>293</v>
      </c>
      <c r="CP19" s="284"/>
      <c r="CQ19" s="154"/>
      <c r="CR19" s="71">
        <v>13188639.070766069</v>
      </c>
      <c r="CS19" s="9">
        <f t="shared" si="15"/>
        <v>7</v>
      </c>
      <c r="CX19" s="1">
        <v>7</v>
      </c>
      <c r="CY19" s="283" t="s">
        <v>292</v>
      </c>
      <c r="CZ19" s="282"/>
      <c r="DA19" s="180">
        <v>2476040.8475628183</v>
      </c>
      <c r="DB19" s="272">
        <f>+DA19-CZ19</f>
        <v>2476040.8475628183</v>
      </c>
      <c r="DC19" s="1">
        <v>7</v>
      </c>
      <c r="DD19" s="281" t="s">
        <v>291</v>
      </c>
      <c r="DE19" s="133">
        <v>-1087774.3612499998</v>
      </c>
      <c r="DF19" s="133">
        <v>0</v>
      </c>
      <c r="DG19" s="133">
        <f t="shared" si="17"/>
        <v>1087774.3612499998</v>
      </c>
      <c r="DH19" s="1">
        <v>7</v>
      </c>
      <c r="DI19" s="129" t="s">
        <v>206</v>
      </c>
      <c r="DJ19" s="133"/>
      <c r="DK19" s="280"/>
      <c r="DL19" s="132">
        <f>-DL17-DL18</f>
        <v>10262.31709798798</v>
      </c>
      <c r="DM19" s="1">
        <v>8</v>
      </c>
    </row>
    <row r="20" spans="1:120" ht="15" customHeight="1" thickTop="1" thickBot="1">
      <c r="A20" s="124">
        <f t="shared" si="0"/>
        <v>9</v>
      </c>
      <c r="B20" s="190" t="s">
        <v>290</v>
      </c>
      <c r="D20" s="157">
        <v>146.57999999999811</v>
      </c>
      <c r="E20" s="142"/>
      <c r="F20" s="124">
        <f t="shared" si="1"/>
        <v>8</v>
      </c>
      <c r="G20" s="237">
        <v>42430</v>
      </c>
      <c r="H20" s="41">
        <v>1958545780</v>
      </c>
      <c r="I20" s="41">
        <v>2012348657.2991226</v>
      </c>
      <c r="J20" s="28">
        <f t="shared" si="16"/>
        <v>53802877.299122572</v>
      </c>
      <c r="K20" s="28"/>
      <c r="L20" s="3"/>
      <c r="M20" s="9">
        <f t="shared" si="2"/>
        <v>8</v>
      </c>
      <c r="N20" s="156" t="s">
        <v>289</v>
      </c>
      <c r="O20" s="173"/>
      <c r="P20" s="133" t="s">
        <v>15</v>
      </c>
      <c r="Q20" s="140">
        <v>-2081681.16</v>
      </c>
      <c r="R20" s="9">
        <f t="shared" si="3"/>
        <v>8</v>
      </c>
      <c r="S20" s="3" t="s">
        <v>288</v>
      </c>
      <c r="T20" s="3"/>
      <c r="U20" s="69"/>
      <c r="V20" s="9">
        <f t="shared" si="4"/>
        <v>8</v>
      </c>
      <c r="W20" s="151" t="s">
        <v>160</v>
      </c>
      <c r="Y20" s="873">
        <f>-Y18</f>
        <v>-149734154.31427145</v>
      </c>
      <c r="Z20" s="9">
        <f t="shared" si="5"/>
        <v>8</v>
      </c>
      <c r="AA20" s="49" t="s">
        <v>287</v>
      </c>
      <c r="AB20" s="182">
        <v>1476016.7034779999</v>
      </c>
      <c r="AC20" s="182">
        <v>0</v>
      </c>
      <c r="AD20" s="279">
        <f>AC20-AB20</f>
        <v>-1476016.7034779999</v>
      </c>
      <c r="AE20" s="9">
        <f t="shared" si="6"/>
        <v>8</v>
      </c>
      <c r="AF20" s="253" t="s">
        <v>250</v>
      </c>
      <c r="AG20" s="278"/>
      <c r="AH20" s="278"/>
      <c r="AI20" s="278"/>
      <c r="AJ20" s="9">
        <v>8</v>
      </c>
      <c r="AK20" s="277" t="s">
        <v>158</v>
      </c>
      <c r="AL20" s="1"/>
      <c r="AM20" s="1"/>
      <c r="AN20" s="192">
        <f>-AN17-AN18</f>
        <v>69387.278670666696</v>
      </c>
      <c r="AO20" s="9">
        <f t="shared" si="7"/>
        <v>8</v>
      </c>
      <c r="AP20" s="162"/>
      <c r="AQ20" s="71"/>
      <c r="AR20" s="275"/>
      <c r="AS20" s="71"/>
      <c r="AT20" s="71"/>
      <c r="AU20" s="71"/>
      <c r="AV20" s="276"/>
      <c r="AW20" s="275"/>
      <c r="AX20" s="9">
        <f t="shared" si="8"/>
        <v>8</v>
      </c>
      <c r="AY20" s="1" t="s">
        <v>286</v>
      </c>
      <c r="AZ20" s="71">
        <v>15752.022461405353</v>
      </c>
      <c r="BA20" s="227">
        <v>16130.092834759536</v>
      </c>
      <c r="BB20" s="227">
        <f t="shared" si="9"/>
        <v>378.07037335418318</v>
      </c>
      <c r="BC20" s="1"/>
      <c r="BD20" s="1"/>
      <c r="BH20" s="124"/>
      <c r="BL20" s="9">
        <f t="shared" si="10"/>
        <v>8</v>
      </c>
      <c r="BM20" s="49"/>
      <c r="BN20" s="122"/>
      <c r="BO20" s="219"/>
      <c r="BP20" s="124">
        <f t="shared" si="11"/>
        <v>8</v>
      </c>
      <c r="BS20" s="148"/>
      <c r="BT20" s="9">
        <f t="shared" si="12"/>
        <v>8</v>
      </c>
      <c r="BU20" s="49" t="s">
        <v>158</v>
      </c>
      <c r="BX20" s="175">
        <f>-BX17-BX19</f>
        <v>66147.120545911268</v>
      </c>
      <c r="BY20" s="9"/>
      <c r="CD20" s="9">
        <v>8</v>
      </c>
      <c r="CE20" s="265" t="s">
        <v>286</v>
      </c>
      <c r="CF20" s="36">
        <v>209317.86788684683</v>
      </c>
      <c r="CG20" s="209">
        <v>213614.34113897898</v>
      </c>
      <c r="CH20" s="274">
        <f t="shared" si="13"/>
        <v>4296.4732521321566</v>
      </c>
      <c r="CI20" s="9">
        <f t="shared" si="14"/>
        <v>8</v>
      </c>
      <c r="CJ20" s="151" t="s">
        <v>285</v>
      </c>
      <c r="CK20" s="239">
        <v>6.875E-3</v>
      </c>
      <c r="CL20" s="83">
        <v>18793.955383500001</v>
      </c>
      <c r="CM20" s="121"/>
      <c r="CN20" s="9">
        <v>8</v>
      </c>
      <c r="CO20" s="3" t="s">
        <v>245</v>
      </c>
      <c r="CR20" s="148">
        <f>CR18-CR19</f>
        <v>187308.92923393101</v>
      </c>
      <c r="CS20" s="9">
        <f t="shared" si="15"/>
        <v>8</v>
      </c>
      <c r="CT20" s="181" t="s">
        <v>284</v>
      </c>
      <c r="CU20" s="154">
        <f>k_FITrate</f>
        <v>0.35</v>
      </c>
      <c r="CW20" s="273">
        <f>ROUND(-CW18*CU20,0)</f>
        <v>-297654</v>
      </c>
      <c r="CX20" s="1">
        <v>8</v>
      </c>
      <c r="CY20" s="1" t="s">
        <v>283</v>
      </c>
      <c r="CZ20" s="216">
        <v>0</v>
      </c>
      <c r="DA20" s="180">
        <v>828677.01230520185</v>
      </c>
      <c r="DB20" s="272">
        <f>+DA20-CZ20</f>
        <v>828677.01230520185</v>
      </c>
      <c r="DC20" s="1">
        <f t="shared" ref="DC20:DC35" si="18">DC19+1</f>
        <v>8</v>
      </c>
      <c r="DD20" s="271" t="s">
        <v>282</v>
      </c>
      <c r="DE20" s="133">
        <v>13548.583466044467</v>
      </c>
      <c r="DF20" s="133">
        <v>283809.31891272456</v>
      </c>
      <c r="DG20" s="133">
        <f t="shared" si="17"/>
        <v>270260.7354466801</v>
      </c>
      <c r="DH20" s="1"/>
      <c r="DM20" s="1">
        <v>9</v>
      </c>
    </row>
    <row r="21" spans="1:120" ht="14.25" thickTop="1">
      <c r="A21" s="124">
        <f t="shared" si="0"/>
        <v>10</v>
      </c>
      <c r="B21" s="190" t="s">
        <v>281</v>
      </c>
      <c r="C21" s="270"/>
      <c r="D21" s="157">
        <v>7446504.8799999999</v>
      </c>
      <c r="E21" s="142"/>
      <c r="F21" s="124">
        <f t="shared" si="1"/>
        <v>9</v>
      </c>
      <c r="G21" s="237">
        <v>42461</v>
      </c>
      <c r="H21" s="41">
        <v>1641032699</v>
      </c>
      <c r="I21" s="41">
        <v>1722339991.2558239</v>
      </c>
      <c r="J21" s="28">
        <f t="shared" si="16"/>
        <v>81307292.255823851</v>
      </c>
      <c r="K21" s="28"/>
      <c r="L21" s="3"/>
      <c r="M21" s="9">
        <f t="shared" si="2"/>
        <v>9</v>
      </c>
      <c r="N21" s="156" t="s">
        <v>280</v>
      </c>
      <c r="O21" s="3"/>
      <c r="P21" s="3"/>
      <c r="Q21" s="140">
        <v>1841461.71</v>
      </c>
      <c r="R21" s="9">
        <f t="shared" si="3"/>
        <v>9</v>
      </c>
      <c r="S21" s="3" t="s">
        <v>279</v>
      </c>
      <c r="T21" s="3"/>
      <c r="U21" s="36">
        <f>SUM(U16:U20)</f>
        <v>209020153.48657256</v>
      </c>
      <c r="V21" s="9">
        <f t="shared" si="4"/>
        <v>9</v>
      </c>
      <c r="W21" s="151"/>
      <c r="X21" s="269"/>
      <c r="Y21" s="84" t="s">
        <v>15</v>
      </c>
      <c r="Z21" s="9">
        <f t="shared" si="5"/>
        <v>9</v>
      </c>
      <c r="AA21" s="49" t="s">
        <v>278</v>
      </c>
      <c r="AB21" s="223">
        <f>SUM(AB19:AB20)</f>
        <v>2828141.4334779996</v>
      </c>
      <c r="AC21" s="876">
        <f>SUM(AC19:AC20)</f>
        <v>1739118.2629811203</v>
      </c>
      <c r="AD21" s="876">
        <f>SUM(AD19:AD20)</f>
        <v>-1089023.1704968796</v>
      </c>
      <c r="AE21" s="9">
        <f t="shared" si="6"/>
        <v>9</v>
      </c>
      <c r="AF21" s="268" t="s">
        <v>277</v>
      </c>
      <c r="AG21" s="267">
        <v>0</v>
      </c>
      <c r="AH21" s="267">
        <v>7090529.6672114292</v>
      </c>
      <c r="AI21" s="267">
        <f>AH21-AG21</f>
        <v>7090529.6672114292</v>
      </c>
      <c r="AO21" s="9">
        <f t="shared" si="7"/>
        <v>9</v>
      </c>
      <c r="AP21" s="266"/>
      <c r="AV21" s="220"/>
      <c r="AX21" s="9">
        <f t="shared" si="8"/>
        <v>9</v>
      </c>
      <c r="AY21" s="1" t="s">
        <v>274</v>
      </c>
      <c r="AZ21" s="71">
        <v>2049529.5019409845</v>
      </c>
      <c r="BA21" s="227">
        <v>2112756.4067951208</v>
      </c>
      <c r="BB21" s="227">
        <f t="shared" si="9"/>
        <v>63226.904854136286</v>
      </c>
      <c r="BC21" s="1"/>
      <c r="BD21" s="1"/>
      <c r="BL21" s="9">
        <f t="shared" si="10"/>
        <v>9</v>
      </c>
      <c r="BM21" s="49" t="s">
        <v>276</v>
      </c>
      <c r="BN21" s="257">
        <v>0</v>
      </c>
      <c r="BO21" s="19"/>
      <c r="BP21" s="124">
        <f t="shared" si="11"/>
        <v>9</v>
      </c>
      <c r="BQ21" s="3" t="s">
        <v>275</v>
      </c>
      <c r="BR21" s="71"/>
      <c r="BS21" s="71">
        <f>BS15+BS19</f>
        <v>-2291230.0700000026</v>
      </c>
      <c r="BT21" s="9"/>
      <c r="BU21" s="49"/>
      <c r="BY21" s="9"/>
      <c r="BZ21" s="49"/>
      <c r="CD21" s="9">
        <v>9</v>
      </c>
      <c r="CE21" s="265" t="s">
        <v>274</v>
      </c>
      <c r="CF21" s="36">
        <v>27183671.346791636</v>
      </c>
      <c r="CG21" s="209">
        <v>27978916.317603432</v>
      </c>
      <c r="CH21" s="264">
        <f t="shared" si="13"/>
        <v>795244.97081179544</v>
      </c>
      <c r="CI21" s="9">
        <f t="shared" si="14"/>
        <v>9</v>
      </c>
      <c r="CJ21" s="233" t="s">
        <v>273</v>
      </c>
      <c r="CK21" s="233"/>
      <c r="CL21" s="233"/>
      <c r="CM21" s="137">
        <f>SUM(CL19:CL20)</f>
        <v>2752460.1929835002</v>
      </c>
      <c r="CN21" s="9">
        <v>9</v>
      </c>
      <c r="CR21" s="71"/>
      <c r="CS21" s="9">
        <f t="shared" si="15"/>
        <v>9</v>
      </c>
      <c r="CT21" s="181"/>
      <c r="CW21" s="121"/>
      <c r="CX21" s="1">
        <v>9</v>
      </c>
      <c r="CY21" s="1" t="s">
        <v>272</v>
      </c>
      <c r="CZ21" s="133">
        <f>SUM(CZ19:CZ20)</f>
        <v>0</v>
      </c>
      <c r="DA21" s="241">
        <f>SUM(DA19:DA20)</f>
        <v>3304717.8598680203</v>
      </c>
      <c r="DB21" s="241">
        <f>SUM(DB19:DB20)</f>
        <v>3304717.8598680203</v>
      </c>
      <c r="DC21" s="1">
        <f t="shared" si="18"/>
        <v>9</v>
      </c>
      <c r="DD21" s="263" t="s">
        <v>271</v>
      </c>
      <c r="DE21" s="133">
        <v>-4742.0042131155633</v>
      </c>
      <c r="DF21" s="133"/>
      <c r="DG21" s="133">
        <f t="shared" si="17"/>
        <v>4742.0042131155633</v>
      </c>
      <c r="DH21" s="1"/>
    </row>
    <row r="22" spans="1:120" ht="20.25" customHeight="1" thickBot="1">
      <c r="A22" s="124">
        <f t="shared" si="0"/>
        <v>11</v>
      </c>
      <c r="B22" s="190" t="s">
        <v>270</v>
      </c>
      <c r="D22" s="157">
        <v>-3902999.6601178469</v>
      </c>
      <c r="E22" s="142"/>
      <c r="F22" s="124">
        <f t="shared" si="1"/>
        <v>10</v>
      </c>
      <c r="G22" s="237">
        <v>42491</v>
      </c>
      <c r="H22" s="41">
        <v>1626432632</v>
      </c>
      <c r="I22" s="41">
        <v>1650865087.7541413</v>
      </c>
      <c r="J22" s="28">
        <f t="shared" si="16"/>
        <v>24432455.754141331</v>
      </c>
      <c r="K22" s="28"/>
      <c r="L22" s="3"/>
      <c r="M22" s="9">
        <f t="shared" si="2"/>
        <v>10</v>
      </c>
      <c r="N22" s="156"/>
      <c r="O22" s="3"/>
      <c r="P22" s="3"/>
      <c r="Q22" s="140"/>
      <c r="R22" s="9">
        <f t="shared" si="3"/>
        <v>10</v>
      </c>
      <c r="S22" s="3"/>
      <c r="T22" s="3"/>
      <c r="U22" s="79"/>
      <c r="V22" s="9">
        <f t="shared" si="4"/>
        <v>10</v>
      </c>
      <c r="W22" s="151" t="s">
        <v>269</v>
      </c>
      <c r="X22" s="154">
        <f>k_FITrate</f>
        <v>0.35</v>
      </c>
      <c r="Y22" s="873">
        <f>+Y20*X22</f>
        <v>-52406954.009995006</v>
      </c>
      <c r="Z22" s="9">
        <f t="shared" si="5"/>
        <v>10</v>
      </c>
      <c r="AA22" s="49"/>
      <c r="AB22" s="246"/>
      <c r="AC22" s="246"/>
      <c r="AD22" s="133"/>
      <c r="AE22" s="9">
        <f t="shared" si="6"/>
        <v>10</v>
      </c>
      <c r="AF22" s="234" t="s">
        <v>198</v>
      </c>
      <c r="AG22" s="262">
        <f>SUM(AG21:AG21)</f>
        <v>0</v>
      </c>
      <c r="AH22" s="262">
        <f>SUM(AH21:AH21)</f>
        <v>7090529.6672114292</v>
      </c>
      <c r="AI22" s="262">
        <f>SUM(AI21:AI21)</f>
        <v>7090529.6672114292</v>
      </c>
      <c r="AO22" s="9">
        <f t="shared" si="7"/>
        <v>10</v>
      </c>
      <c r="AP22" s="3" t="s">
        <v>268</v>
      </c>
      <c r="AQ22" s="71"/>
      <c r="AR22" s="71"/>
      <c r="AS22" s="71"/>
      <c r="AT22" s="71"/>
      <c r="AU22" s="71"/>
      <c r="AV22" s="261">
        <f>AW17</f>
        <v>7.1570000000000002E-3</v>
      </c>
      <c r="AW22" s="71"/>
      <c r="AX22" s="9">
        <f t="shared" si="8"/>
        <v>10</v>
      </c>
      <c r="AY22" s="181" t="s">
        <v>267</v>
      </c>
      <c r="AZ22" s="148">
        <f>SUM(AZ14:AZ21)</f>
        <v>7360758.1595352115</v>
      </c>
      <c r="BA22" s="242">
        <f>SUM(BA14:BA21)</f>
        <v>7519849.2795648947</v>
      </c>
      <c r="BB22" s="242">
        <f>BA22-AZ22</f>
        <v>159091.12002968322</v>
      </c>
      <c r="BC22" s="1"/>
      <c r="BD22" s="1"/>
      <c r="BL22" s="9">
        <f t="shared" si="10"/>
        <v>10</v>
      </c>
      <c r="BM22" s="49"/>
      <c r="BN22" s="122"/>
      <c r="BO22" s="71"/>
      <c r="BP22" s="124">
        <f t="shared" si="11"/>
        <v>10</v>
      </c>
      <c r="BR22" s="71"/>
      <c r="BS22" s="71"/>
      <c r="BT22" s="9"/>
      <c r="BU22" s="49"/>
      <c r="BY22" s="9"/>
      <c r="BZ22" s="49"/>
      <c r="CD22" s="9">
        <v>10</v>
      </c>
      <c r="CE22" s="49" t="s">
        <v>266</v>
      </c>
      <c r="CF22" s="148">
        <f>SUM(CF14:CF21)</f>
        <v>97628924.898229778</v>
      </c>
      <c r="CG22" s="240">
        <f>SUM(CG14:CG21)</f>
        <v>99584184.936133325</v>
      </c>
      <c r="CH22" s="240">
        <f>SUM(CH13:CH21)</f>
        <v>1955260.0379035326</v>
      </c>
      <c r="CI22" s="9">
        <f t="shared" si="14"/>
        <v>10</v>
      </c>
      <c r="CJ22" s="181"/>
      <c r="CK22" s="226"/>
      <c r="CL22" s="226"/>
      <c r="CM22" s="137"/>
      <c r="CN22" s="9">
        <v>10</v>
      </c>
      <c r="CO22" s="49" t="s">
        <v>213</v>
      </c>
      <c r="CP22" s="154">
        <f>k_FITrate</f>
        <v>0.35</v>
      </c>
      <c r="CR22" s="36">
        <f>-ROUND(+CR20*CP22,0)</f>
        <v>-65558</v>
      </c>
      <c r="CS22" s="9">
        <f t="shared" si="15"/>
        <v>10</v>
      </c>
      <c r="CT22" s="181" t="s">
        <v>158</v>
      </c>
      <c r="CW22" s="192">
        <f>-CW18-CW20</f>
        <v>-552786.58200000005</v>
      </c>
      <c r="CX22" s="1">
        <v>10</v>
      </c>
      <c r="CY22" s="1"/>
      <c r="CZ22" s="180"/>
      <c r="DA22" s="180"/>
      <c r="DB22" s="180"/>
      <c r="DC22" s="1">
        <f t="shared" si="18"/>
        <v>10</v>
      </c>
      <c r="DD22" s="1" t="s">
        <v>265</v>
      </c>
      <c r="DE22" s="260">
        <f>SUM(DE15:DE21)</f>
        <v>3773484.7482676036</v>
      </c>
      <c r="DF22" s="260">
        <f>SUM(DF15:DF21)</f>
        <v>19688544.846134391</v>
      </c>
      <c r="DG22" s="260">
        <f>SUM(DG15:DG21)</f>
        <v>15915060.097866783</v>
      </c>
      <c r="DH22" s="1"/>
    </row>
    <row r="23" spans="1:120" ht="15" thickTop="1" thickBot="1">
      <c r="A23" s="124">
        <f t="shared" si="0"/>
        <v>12</v>
      </c>
      <c r="B23" s="143" t="s">
        <v>264</v>
      </c>
      <c r="C23" s="3"/>
      <c r="D23" s="148">
        <f>SUM(D15:D22)</f>
        <v>-18636150.940117843</v>
      </c>
      <c r="F23" s="124">
        <f t="shared" si="1"/>
        <v>11</v>
      </c>
      <c r="G23" s="237">
        <v>42522</v>
      </c>
      <c r="H23" s="41">
        <v>1597200862</v>
      </c>
      <c r="I23" s="41">
        <v>1581091453.7400358</v>
      </c>
      <c r="J23" s="28">
        <f t="shared" si="16"/>
        <v>-16109408.259964228</v>
      </c>
      <c r="K23" s="28"/>
      <c r="L23" s="3"/>
      <c r="M23" s="9">
        <f t="shared" si="2"/>
        <v>11</v>
      </c>
      <c r="N23" s="156"/>
      <c r="O23" s="3"/>
      <c r="P23" s="3"/>
      <c r="Q23" s="140"/>
      <c r="R23" s="9">
        <f t="shared" si="3"/>
        <v>11</v>
      </c>
      <c r="S23" s="3" t="s">
        <v>263</v>
      </c>
      <c r="T23" s="259" t="s">
        <v>15</v>
      </c>
      <c r="U23" s="79"/>
      <c r="V23" s="9">
        <f t="shared" si="4"/>
        <v>11</v>
      </c>
      <c r="W23" s="151" t="s">
        <v>158</v>
      </c>
      <c r="Y23" s="874">
        <f>-Y22</f>
        <v>52406954.009995006</v>
      </c>
      <c r="Z23" s="9">
        <f t="shared" si="5"/>
        <v>11</v>
      </c>
      <c r="AA23" s="49" t="s">
        <v>262</v>
      </c>
      <c r="AB23" s="223">
        <f>AB17+AB21</f>
        <v>297280860.27087998</v>
      </c>
      <c r="AC23" s="876">
        <f>AC17+AC21</f>
        <v>331155327.81704831</v>
      </c>
      <c r="AD23" s="876">
        <f>AD17+AD21</f>
        <v>33874467.546168283</v>
      </c>
      <c r="AE23" s="9">
        <f t="shared" si="6"/>
        <v>11</v>
      </c>
      <c r="AF23" s="234"/>
      <c r="AG23" s="229"/>
      <c r="AH23" s="229"/>
      <c r="AI23" s="229"/>
      <c r="AO23" s="9">
        <f t="shared" si="7"/>
        <v>11</v>
      </c>
      <c r="AP23" s="3" t="s">
        <v>261</v>
      </c>
      <c r="AQ23" s="71"/>
      <c r="AR23" s="71"/>
      <c r="AS23" s="71"/>
      <c r="AT23" s="71"/>
      <c r="AU23" s="71"/>
      <c r="AV23" s="220">
        <f>ROUND(AV19*AV22,0)</f>
        <v>15359268</v>
      </c>
      <c r="AW23" s="71"/>
      <c r="AX23" s="9">
        <f t="shared" si="8"/>
        <v>11</v>
      </c>
      <c r="AY23" s="252"/>
      <c r="AZ23" s="19"/>
      <c r="BA23" s="19"/>
      <c r="BB23" s="19"/>
      <c r="BC23" s="1"/>
      <c r="BD23" s="1"/>
      <c r="BL23" s="9">
        <f t="shared" si="10"/>
        <v>11</v>
      </c>
      <c r="BM23" s="258" t="s">
        <v>260</v>
      </c>
      <c r="BN23" s="257">
        <f>BN21/4</f>
        <v>0</v>
      </c>
      <c r="BO23" s="71"/>
      <c r="BP23" s="124">
        <f t="shared" si="11"/>
        <v>11</v>
      </c>
      <c r="BQ23" s="4" t="s">
        <v>259</v>
      </c>
      <c r="BR23" s="71"/>
      <c r="BS23" s="168">
        <f>BS21/36*12</f>
        <v>-763743.3566666675</v>
      </c>
      <c r="BT23" s="129"/>
      <c r="BV23" s="79"/>
      <c r="BW23" s="79"/>
      <c r="BX23" s="79"/>
      <c r="BY23" s="129"/>
      <c r="BZ23" s="79"/>
      <c r="CA23" s="79"/>
      <c r="CB23" s="79"/>
      <c r="CC23" s="79"/>
      <c r="CD23" s="9">
        <v>11</v>
      </c>
      <c r="CF23" s="36"/>
      <c r="CG23" s="36"/>
      <c r="CH23" s="36"/>
      <c r="CI23" s="9">
        <f t="shared" si="14"/>
        <v>11</v>
      </c>
      <c r="CJ23" s="256" t="s">
        <v>258</v>
      </c>
      <c r="CK23" s="255"/>
      <c r="CL23" s="255"/>
      <c r="CM23" s="137"/>
      <c r="CN23" s="9">
        <v>11</v>
      </c>
      <c r="CR23" s="148"/>
      <c r="CS23" s="9"/>
      <c r="CX23" s="1">
        <v>11</v>
      </c>
      <c r="CY23" s="1" t="s">
        <v>257</v>
      </c>
      <c r="CZ23" s="180"/>
      <c r="DA23" s="180"/>
      <c r="DB23" s="180">
        <f>DB15+DB21</f>
        <v>3092647.9339365205</v>
      </c>
      <c r="DC23" s="1">
        <f t="shared" si="18"/>
        <v>11</v>
      </c>
      <c r="DD23" s="1"/>
      <c r="DE23" s="133"/>
      <c r="DF23" s="133"/>
      <c r="DG23" s="247"/>
      <c r="DH23" s="1"/>
    </row>
    <row r="24" spans="1:120" ht="15" thickTop="1" thickBot="1">
      <c r="A24" s="124">
        <f t="shared" si="0"/>
        <v>13</v>
      </c>
      <c r="B24" s="238"/>
      <c r="C24" s="3"/>
      <c r="D24" s="254"/>
      <c r="E24" s="142"/>
      <c r="F24" s="124">
        <f t="shared" si="1"/>
        <v>12</v>
      </c>
      <c r="G24" s="237">
        <v>42552</v>
      </c>
      <c r="H24" s="41">
        <v>1647778275</v>
      </c>
      <c r="I24" s="41">
        <v>1645122246.7049186</v>
      </c>
      <c r="J24" s="28">
        <f t="shared" si="16"/>
        <v>-2656028.295081377</v>
      </c>
      <c r="K24" s="28"/>
      <c r="L24" s="3"/>
      <c r="M24" s="9">
        <f t="shared" si="2"/>
        <v>12</v>
      </c>
      <c r="N24" s="146" t="s">
        <v>256</v>
      </c>
      <c r="O24" s="3"/>
      <c r="P24" s="3"/>
      <c r="Q24" s="140">
        <v>4599593.6399999997</v>
      </c>
      <c r="R24" s="9">
        <f t="shared" si="3"/>
        <v>12</v>
      </c>
      <c r="S24" s="49" t="s">
        <v>255</v>
      </c>
      <c r="T24" s="44"/>
      <c r="U24" s="79">
        <v>0</v>
      </c>
      <c r="Y24" s="3"/>
      <c r="Z24" s="9">
        <f t="shared" si="5"/>
        <v>12</v>
      </c>
      <c r="AA24" s="49"/>
      <c r="AB24" s="246"/>
      <c r="AC24" s="185"/>
      <c r="AD24" s="180"/>
      <c r="AE24" s="9">
        <f t="shared" si="6"/>
        <v>12</v>
      </c>
      <c r="AF24" s="253"/>
      <c r="AG24" s="229"/>
      <c r="AH24" s="229"/>
      <c r="AI24" s="229"/>
      <c r="AO24" s="9">
        <f t="shared" si="7"/>
        <v>12</v>
      </c>
      <c r="AP24" s="3"/>
      <c r="AQ24" s="71"/>
      <c r="AR24" s="71"/>
      <c r="AS24" s="71"/>
      <c r="AT24" s="71"/>
      <c r="AU24" s="71"/>
      <c r="AV24" s="71"/>
      <c r="AW24" s="71"/>
      <c r="AX24" s="9">
        <f t="shared" si="8"/>
        <v>12</v>
      </c>
      <c r="AY24" s="252" t="s">
        <v>254</v>
      </c>
      <c r="AZ24" s="71">
        <v>462245.76916034456</v>
      </c>
      <c r="BA24" s="251">
        <f>(BA22/(AZ22/AZ24))</f>
        <v>472236.47875177953</v>
      </c>
      <c r="BB24" s="220">
        <f>BA24-AZ24</f>
        <v>9990.7095914349775</v>
      </c>
      <c r="BC24" s="1"/>
      <c r="BD24" s="1"/>
      <c r="BL24" s="9">
        <f t="shared" si="10"/>
        <v>12</v>
      </c>
      <c r="BM24" s="250" t="s">
        <v>253</v>
      </c>
      <c r="BN24" s="35">
        <v>0</v>
      </c>
      <c r="BO24" s="71"/>
      <c r="BP24" s="124">
        <f t="shared" si="11"/>
        <v>12</v>
      </c>
      <c r="BQ24" s="49"/>
      <c r="BR24" s="71"/>
      <c r="BS24" s="122"/>
      <c r="CD24" s="9">
        <v>12</v>
      </c>
      <c r="CE24" s="49" t="s">
        <v>252</v>
      </c>
      <c r="CF24" s="69">
        <v>6486464.3989615748</v>
      </c>
      <c r="CG24" s="249">
        <v>6619997.5749932379</v>
      </c>
      <c r="CH24" s="249">
        <v>133533.17603166337</v>
      </c>
      <c r="CI24" s="9">
        <f t="shared" si="14"/>
        <v>12</v>
      </c>
      <c r="CJ24" s="129" t="s">
        <v>251</v>
      </c>
      <c r="CK24" s="173"/>
      <c r="CL24" s="79">
        <v>1013154.9303599999</v>
      </c>
      <c r="CM24" s="121"/>
      <c r="CN24" s="9">
        <v>12</v>
      </c>
      <c r="CO24" s="49" t="s">
        <v>206</v>
      </c>
      <c r="CP24" s="49"/>
      <c r="CR24" s="192">
        <f>-CR20-CR22</f>
        <v>-121750.92923393101</v>
      </c>
      <c r="CS24" s="9"/>
      <c r="CX24" s="1">
        <v>12</v>
      </c>
      <c r="CY24" s="1"/>
      <c r="CZ24" s="180"/>
      <c r="DA24" s="180"/>
      <c r="DB24" s="180"/>
      <c r="DC24" s="1">
        <f t="shared" si="18"/>
        <v>12</v>
      </c>
      <c r="DD24" s="248" t="s">
        <v>250</v>
      </c>
      <c r="DE24" s="247"/>
      <c r="DF24" s="247"/>
      <c r="DG24" s="247"/>
    </row>
    <row r="25" spans="1:120" ht="14.25" thickTop="1">
      <c r="A25" s="124">
        <f t="shared" si="0"/>
        <v>14</v>
      </c>
      <c r="B25" s="143" t="s">
        <v>15</v>
      </c>
      <c r="C25" s="3"/>
      <c r="D25" s="142"/>
      <c r="E25" s="142"/>
      <c r="F25" s="124">
        <f t="shared" si="1"/>
        <v>13</v>
      </c>
      <c r="G25" s="237">
        <v>42583</v>
      </c>
      <c r="H25" s="41">
        <v>1712297533</v>
      </c>
      <c r="I25" s="41">
        <v>1683439145.9613144</v>
      </c>
      <c r="J25" s="28">
        <f t="shared" si="16"/>
        <v>-28858387.03868556</v>
      </c>
      <c r="K25" s="28"/>
      <c r="L25" s="3"/>
      <c r="M25" s="9">
        <f t="shared" si="2"/>
        <v>13</v>
      </c>
      <c r="N25" s="146" t="s">
        <v>249</v>
      </c>
      <c r="O25" s="3"/>
      <c r="P25" s="3"/>
      <c r="Q25" s="140">
        <v>-1563408.86</v>
      </c>
      <c r="R25" s="9">
        <f t="shared" si="3"/>
        <v>13</v>
      </c>
      <c r="S25" s="3" t="s">
        <v>248</v>
      </c>
      <c r="T25" s="235"/>
      <c r="U25" s="79">
        <v>581832300.8599999</v>
      </c>
      <c r="W25" s="106" t="s">
        <v>186</v>
      </c>
      <c r="X25" s="127"/>
      <c r="Z25" s="9">
        <f t="shared" si="5"/>
        <v>13</v>
      </c>
      <c r="AA25" s="49" t="s">
        <v>247</v>
      </c>
      <c r="AB25" s="246"/>
      <c r="AC25" s="246"/>
      <c r="AD25" s="22"/>
      <c r="AE25" s="9">
        <f t="shared" si="6"/>
        <v>13</v>
      </c>
      <c r="AF25" s="245"/>
      <c r="AG25" s="229"/>
      <c r="AH25" s="229"/>
      <c r="AI25" s="229"/>
      <c r="AO25" s="9">
        <f t="shared" si="7"/>
        <v>13</v>
      </c>
      <c r="AP25" s="49" t="s">
        <v>246</v>
      </c>
      <c r="AQ25" s="71"/>
      <c r="AR25" s="71"/>
      <c r="AS25" s="244"/>
      <c r="AT25" s="244"/>
      <c r="AU25" s="243"/>
      <c r="AV25" s="71">
        <v>16407059.630000001</v>
      </c>
      <c r="AW25" s="71"/>
      <c r="AX25" s="9">
        <f t="shared" si="8"/>
        <v>13</v>
      </c>
      <c r="AY25" s="3" t="s">
        <v>245</v>
      </c>
      <c r="AZ25" s="148">
        <f>SUM(AZ22:AZ24)</f>
        <v>7823003.9286955558</v>
      </c>
      <c r="BA25" s="242">
        <f>SUM(BA22:BA24)</f>
        <v>7992085.7583166743</v>
      </c>
      <c r="BB25" s="242">
        <f>SUM(BB22:BB24)</f>
        <v>169081.8296211182</v>
      </c>
      <c r="BL25" s="9">
        <f t="shared" si="10"/>
        <v>13</v>
      </c>
      <c r="BM25" s="49" t="s">
        <v>198</v>
      </c>
      <c r="BN25" s="241">
        <f>+BN23-BN24</f>
        <v>0</v>
      </c>
      <c r="BO25" s="122">
        <f>+BN25</f>
        <v>0</v>
      </c>
      <c r="BP25" s="124">
        <f t="shared" si="11"/>
        <v>13</v>
      </c>
      <c r="BQ25" s="3" t="s">
        <v>244</v>
      </c>
      <c r="BR25" s="71"/>
      <c r="BS25" s="136">
        <v>-500359.08000000007</v>
      </c>
      <c r="CD25" s="9">
        <v>13</v>
      </c>
      <c r="CE25" s="49" t="s">
        <v>243</v>
      </c>
      <c r="CF25" s="148">
        <f>SUM(CF22:CF24)</f>
        <v>104115389.29719135</v>
      </c>
      <c r="CG25" s="240">
        <f>SUM(CG22:CG24)</f>
        <v>106204182.51112656</v>
      </c>
      <c r="CH25" s="240">
        <f>SUM(CH22:CH24)</f>
        <v>2088793.2139351959</v>
      </c>
      <c r="CI25" s="9">
        <f t="shared" si="14"/>
        <v>13</v>
      </c>
      <c r="CJ25" s="151" t="s">
        <v>242</v>
      </c>
      <c r="CK25" s="239">
        <v>0.03</v>
      </c>
      <c r="CL25" s="83">
        <v>30394.647910799995</v>
      </c>
      <c r="CM25" s="121"/>
      <c r="CN25" s="9"/>
      <c r="CS25" s="9"/>
      <c r="CX25" s="1">
        <v>13</v>
      </c>
      <c r="CY25" s="1" t="s">
        <v>159</v>
      </c>
      <c r="CZ25" s="133"/>
      <c r="DA25" s="185">
        <v>0.35</v>
      </c>
      <c r="DB25" s="133">
        <f>-DB23*DA25</f>
        <v>-1082426.7768777821</v>
      </c>
      <c r="DC25" s="1">
        <f t="shared" si="18"/>
        <v>13</v>
      </c>
      <c r="DD25" s="203" t="s">
        <v>241</v>
      </c>
      <c r="DE25" s="133">
        <v>363750.12810969783</v>
      </c>
      <c r="DF25" s="133">
        <v>0</v>
      </c>
      <c r="DG25" s="133">
        <f>DF25-DE25</f>
        <v>-363750.12810969783</v>
      </c>
    </row>
    <row r="26" spans="1:120" ht="13.5">
      <c r="A26" s="124">
        <f t="shared" si="0"/>
        <v>15</v>
      </c>
      <c r="B26" s="238"/>
      <c r="C26" s="3"/>
      <c r="D26" s="142"/>
      <c r="E26" s="142"/>
      <c r="F26" s="124">
        <f t="shared" si="1"/>
        <v>14</v>
      </c>
      <c r="G26" s="237">
        <v>42614</v>
      </c>
      <c r="H26" s="41">
        <v>1559199266</v>
      </c>
      <c r="I26" s="41">
        <v>1572781669.7643468</v>
      </c>
      <c r="J26" s="236">
        <f t="shared" si="16"/>
        <v>13582403.764346838</v>
      </c>
      <c r="K26" s="236"/>
      <c r="L26" s="3"/>
      <c r="M26" s="9">
        <f t="shared" si="2"/>
        <v>14</v>
      </c>
      <c r="N26" s="141" t="s">
        <v>240</v>
      </c>
      <c r="O26" s="3"/>
      <c r="P26" s="3"/>
      <c r="Q26" s="140">
        <v>-257285.07999999996</v>
      </c>
      <c r="R26" s="9">
        <f t="shared" si="3"/>
        <v>14</v>
      </c>
      <c r="S26" s="3" t="s">
        <v>239</v>
      </c>
      <c r="T26" s="235"/>
      <c r="U26" s="79">
        <v>-399835386.18000001</v>
      </c>
      <c r="Z26" s="9">
        <f t="shared" si="5"/>
        <v>14</v>
      </c>
      <c r="AA26" s="49" t="s">
        <v>238</v>
      </c>
      <c r="AB26" s="182">
        <v>1424661.0825685868</v>
      </c>
      <c r="AC26" s="877">
        <v>1813988.5566141573</v>
      </c>
      <c r="AD26" s="878">
        <f>AC26-AB26</f>
        <v>389327.47404557047</v>
      </c>
      <c r="AE26" s="9">
        <f t="shared" si="6"/>
        <v>14</v>
      </c>
      <c r="AF26" s="234" t="s">
        <v>198</v>
      </c>
      <c r="AG26" s="229">
        <f>+AG22</f>
        <v>0</v>
      </c>
      <c r="AH26" s="229">
        <f>+AH22</f>
        <v>7090529.6672114292</v>
      </c>
      <c r="AI26" s="229">
        <f>+AI22</f>
        <v>7090529.6672114292</v>
      </c>
      <c r="AO26" s="9">
        <f t="shared" si="7"/>
        <v>14</v>
      </c>
      <c r="AP26" s="210" t="s">
        <v>198</v>
      </c>
      <c r="AQ26" s="71"/>
      <c r="AR26" s="71"/>
      <c r="AS26" s="71"/>
      <c r="AT26" s="71"/>
      <c r="AU26" s="71"/>
      <c r="AV26" s="148"/>
      <c r="AW26" s="220">
        <f>ROUND(AV23-AV25,0)</f>
        <v>-1047792</v>
      </c>
      <c r="AX26" s="9">
        <f t="shared" si="8"/>
        <v>14</v>
      </c>
      <c r="AY26" s="3"/>
      <c r="AZ26" s="71"/>
      <c r="BA26" s="71"/>
      <c r="BB26" s="71"/>
      <c r="BL26" s="9">
        <f t="shared" si="10"/>
        <v>14</v>
      </c>
      <c r="BN26" s="71"/>
      <c r="BO26" s="122"/>
      <c r="BP26" s="124">
        <f t="shared" si="11"/>
        <v>14</v>
      </c>
      <c r="BR26" s="71"/>
      <c r="BS26" s="122"/>
      <c r="CD26" s="9">
        <v>14</v>
      </c>
      <c r="CE26" s="49"/>
      <c r="CF26" s="36"/>
      <c r="CG26" s="48"/>
      <c r="CH26" s="36"/>
      <c r="CI26" s="9">
        <f t="shared" si="14"/>
        <v>14</v>
      </c>
      <c r="CJ26" s="233" t="s">
        <v>237</v>
      </c>
      <c r="CK26" s="233"/>
      <c r="CL26" s="233"/>
      <c r="CM26" s="137">
        <f>SUM(CL24:CL25)</f>
        <v>1043549.5782707998</v>
      </c>
      <c r="CN26" s="129"/>
      <c r="CS26" s="9"/>
      <c r="CT26" s="121"/>
      <c r="CU26" s="121"/>
      <c r="CV26" s="121"/>
      <c r="CW26" s="121"/>
      <c r="CX26" s="1">
        <v>14</v>
      </c>
      <c r="CY26" s="1"/>
      <c r="CZ26" s="133"/>
      <c r="DA26" s="133"/>
      <c r="DB26" s="133"/>
      <c r="DC26" s="1">
        <f t="shared" si="18"/>
        <v>14</v>
      </c>
      <c r="DD26" s="203" t="s">
        <v>236</v>
      </c>
      <c r="DE26" s="133">
        <v>52293.815747347493</v>
      </c>
      <c r="DF26" s="133">
        <v>101997.73424324865</v>
      </c>
      <c r="DG26" s="133">
        <f>DF26-DE26</f>
        <v>49703.918495901155</v>
      </c>
    </row>
    <row r="27" spans="1:120" ht="14.25" thickBot="1">
      <c r="A27" s="124">
        <f t="shared" si="0"/>
        <v>16</v>
      </c>
      <c r="B27" s="143" t="s">
        <v>235</v>
      </c>
      <c r="E27" s="142"/>
      <c r="F27" s="124">
        <f t="shared" si="1"/>
        <v>15</v>
      </c>
      <c r="G27" s="3"/>
      <c r="H27" s="65">
        <f>ROUND(SUM(H15:H26),0)</f>
        <v>22007938139</v>
      </c>
      <c r="I27" s="65">
        <f>ROUND(SUM(I15:I26),0)</f>
        <v>22334293941</v>
      </c>
      <c r="J27" s="65">
        <f>ROUND(SUM(J15:J26),0)</f>
        <v>326355802</v>
      </c>
      <c r="K27" s="65"/>
      <c r="L27" s="232"/>
      <c r="M27" s="9">
        <f t="shared" si="2"/>
        <v>15</v>
      </c>
      <c r="N27" s="141" t="s">
        <v>234</v>
      </c>
      <c r="O27" s="173"/>
      <c r="P27" s="133"/>
      <c r="Q27" s="183">
        <f>SUM(Q14:Q26)</f>
        <v>192824371.04000002</v>
      </c>
      <c r="R27" s="9">
        <f t="shared" si="3"/>
        <v>15</v>
      </c>
      <c r="S27" s="3" t="s">
        <v>233</v>
      </c>
      <c r="T27" s="35"/>
      <c r="U27" s="231"/>
      <c r="Z27" s="9">
        <f t="shared" si="5"/>
        <v>15</v>
      </c>
      <c r="AA27" s="79" t="s">
        <v>232</v>
      </c>
      <c r="AB27" s="182">
        <v>1148003.003511413</v>
      </c>
      <c r="AC27" s="182">
        <v>0</v>
      </c>
      <c r="AD27" s="136">
        <f>AC27-AB27</f>
        <v>-1148003.003511413</v>
      </c>
      <c r="AE27" s="9">
        <f t="shared" si="6"/>
        <v>15</v>
      </c>
      <c r="AF27" s="230"/>
      <c r="AG27" s="229"/>
      <c r="AH27" s="229"/>
      <c r="AI27" s="229"/>
      <c r="AO27" s="9">
        <f t="shared" si="7"/>
        <v>15</v>
      </c>
      <c r="AP27" s="228"/>
      <c r="AQ27" s="71"/>
      <c r="AR27" s="71"/>
      <c r="AS27" s="71"/>
      <c r="AT27" s="71"/>
      <c r="AU27" s="71"/>
      <c r="AV27" s="71"/>
      <c r="AW27" s="71"/>
      <c r="AX27" s="9">
        <f t="shared" si="8"/>
        <v>15</v>
      </c>
      <c r="AY27" s="3" t="s">
        <v>230</v>
      </c>
      <c r="AZ27" s="71"/>
      <c r="BA27" s="71"/>
      <c r="BB27" s="227">
        <f>BB25</f>
        <v>169081.8296211182</v>
      </c>
      <c r="BL27" s="9">
        <f t="shared" si="10"/>
        <v>15</v>
      </c>
      <c r="BM27" s="49"/>
      <c r="BN27" s="71"/>
      <c r="BO27" s="69"/>
      <c r="BP27" s="124">
        <f t="shared" si="11"/>
        <v>15</v>
      </c>
      <c r="BQ27" s="3" t="s">
        <v>231</v>
      </c>
      <c r="BR27" s="71"/>
      <c r="BS27" s="71">
        <f>BS23-BS25</f>
        <v>-263384.27666666743</v>
      </c>
      <c r="CD27" s="9">
        <v>15</v>
      </c>
      <c r="CE27" s="49" t="s">
        <v>230</v>
      </c>
      <c r="CF27" s="48"/>
      <c r="CG27" s="48"/>
      <c r="CH27" s="209">
        <f>CH25</f>
        <v>2088793.2139351959</v>
      </c>
      <c r="CI27" s="9">
        <f t="shared" si="14"/>
        <v>15</v>
      </c>
      <c r="CJ27" s="181"/>
      <c r="CK27" s="226"/>
      <c r="CL27" s="226"/>
      <c r="CM27" s="121"/>
      <c r="CN27" s="9"/>
      <c r="CS27" s="9"/>
      <c r="CT27" s="121"/>
      <c r="CU27" s="121"/>
      <c r="CV27" s="121"/>
      <c r="CW27" s="121"/>
      <c r="CX27" s="1">
        <v>15</v>
      </c>
      <c r="CY27" s="1" t="s">
        <v>158</v>
      </c>
      <c r="CZ27" s="133"/>
      <c r="DA27" s="133"/>
      <c r="DB27" s="175">
        <f>-DB23-DB25</f>
        <v>-2010221.1570587384</v>
      </c>
      <c r="DC27" s="1">
        <f t="shared" si="18"/>
        <v>15</v>
      </c>
      <c r="DD27" s="203" t="s">
        <v>229</v>
      </c>
      <c r="DE27" s="133">
        <v>-39544.098966941405</v>
      </c>
      <c r="DF27" s="133">
        <v>0</v>
      </c>
      <c r="DG27" s="133">
        <f>DF27-DE27</f>
        <v>39544.098966941405</v>
      </c>
    </row>
    <row r="28" spans="1:120" ht="14.25" thickTop="1">
      <c r="A28" s="124">
        <f t="shared" si="0"/>
        <v>17</v>
      </c>
      <c r="B28" s="225" t="s">
        <v>228</v>
      </c>
      <c r="C28" s="2"/>
      <c r="D28" s="157">
        <v>-7446504.8799999999</v>
      </c>
      <c r="E28" s="142"/>
      <c r="F28" s="124">
        <f t="shared" si="1"/>
        <v>16</v>
      </c>
      <c r="G28" s="3"/>
      <c r="H28" s="224"/>
      <c r="I28" s="224"/>
      <c r="J28" s="224"/>
      <c r="K28" s="3"/>
      <c r="L28" s="3"/>
      <c r="M28" s="9">
        <f t="shared" si="2"/>
        <v>16</v>
      </c>
      <c r="N28" s="3"/>
      <c r="O28" s="3"/>
      <c r="P28" s="3"/>
      <c r="Q28" s="71"/>
      <c r="R28" s="9">
        <f t="shared" si="3"/>
        <v>16</v>
      </c>
      <c r="S28" s="49" t="s">
        <v>227</v>
      </c>
      <c r="T28" s="4"/>
      <c r="U28" s="35">
        <f>SUM(U24:U27)</f>
        <v>181996914.67999989</v>
      </c>
      <c r="Z28" s="9">
        <f t="shared" si="5"/>
        <v>16</v>
      </c>
      <c r="AA28" s="3" t="s">
        <v>226</v>
      </c>
      <c r="AB28" s="223">
        <f>SUM(AB26:AB27)</f>
        <v>2572664.0860799998</v>
      </c>
      <c r="AC28" s="876">
        <f>SUM(AC26:AC27)</f>
        <v>1813988.5566141573</v>
      </c>
      <c r="AD28" s="876">
        <f>SUM(AD26:AD27)</f>
        <v>-758675.52946584253</v>
      </c>
      <c r="AE28" s="9">
        <f t="shared" si="6"/>
        <v>16</v>
      </c>
      <c r="AF28" s="213" t="s">
        <v>159</v>
      </c>
      <c r="AG28" s="222">
        <v>0.35</v>
      </c>
      <c r="AH28" s="212"/>
      <c r="AI28" s="221">
        <f>-AI26*AG28</f>
        <v>-2481685.3835240002</v>
      </c>
      <c r="AO28" s="9">
        <f t="shared" si="7"/>
        <v>16</v>
      </c>
      <c r="AP28" s="210" t="s">
        <v>161</v>
      </c>
      <c r="AQ28" s="71"/>
      <c r="AR28" s="71"/>
      <c r="AS28" s="71"/>
      <c r="AT28" s="71"/>
      <c r="AU28" s="71"/>
      <c r="AV28" s="154">
        <v>0.35</v>
      </c>
      <c r="AW28" s="220">
        <f>ROUND(-AW26*AV28,0)</f>
        <v>366727</v>
      </c>
      <c r="AX28" s="9">
        <f t="shared" si="8"/>
        <v>16</v>
      </c>
      <c r="AY28" s="3"/>
      <c r="AZ28" s="71"/>
      <c r="BA28" s="71"/>
      <c r="BB28" s="71"/>
      <c r="BL28" s="9">
        <f t="shared" si="10"/>
        <v>16</v>
      </c>
      <c r="BM28" s="49" t="s">
        <v>165</v>
      </c>
      <c r="BN28" s="71"/>
      <c r="BO28" s="219">
        <f>+BO19+BO25</f>
        <v>0</v>
      </c>
      <c r="BP28" s="124">
        <f t="shared" si="11"/>
        <v>16</v>
      </c>
      <c r="BR28" s="71"/>
      <c r="BS28" s="122"/>
      <c r="CD28" s="9">
        <v>16</v>
      </c>
      <c r="CE28" s="49" t="s">
        <v>220</v>
      </c>
      <c r="CF28" s="36"/>
      <c r="CG28" s="36"/>
      <c r="CH28" s="209">
        <f>-CH27*0.35</f>
        <v>-731077.62487731851</v>
      </c>
      <c r="CI28" s="9">
        <f t="shared" si="14"/>
        <v>16</v>
      </c>
      <c r="CJ28" s="218" t="s">
        <v>64</v>
      </c>
      <c r="CK28" s="217"/>
      <c r="CL28" s="217"/>
      <c r="CM28" s="121"/>
      <c r="CN28" s="9"/>
      <c r="CS28" s="9"/>
      <c r="CT28" s="121"/>
      <c r="CU28" s="121"/>
      <c r="CV28" s="121"/>
      <c r="CW28" s="121"/>
      <c r="CY28" s="1"/>
      <c r="DC28" s="1">
        <f t="shared" si="18"/>
        <v>16</v>
      </c>
      <c r="DD28" s="203" t="s">
        <v>225</v>
      </c>
      <c r="DE28" s="216">
        <v>393261.64299999998</v>
      </c>
      <c r="DF28" s="216">
        <v>0</v>
      </c>
      <c r="DG28" s="216">
        <f>DF28-DE28</f>
        <v>-393261.64299999998</v>
      </c>
    </row>
    <row r="29" spans="1:120" ht="17.25" customHeight="1" thickBot="1">
      <c r="A29" s="124">
        <f t="shared" si="0"/>
        <v>18</v>
      </c>
      <c r="B29" s="190" t="s">
        <v>224</v>
      </c>
      <c r="C29" s="2"/>
      <c r="D29" s="157">
        <v>11994134.030000001</v>
      </c>
      <c r="E29" s="142"/>
      <c r="F29" s="124">
        <f t="shared" si="1"/>
        <v>17</v>
      </c>
      <c r="G29" s="3" t="s">
        <v>223</v>
      </c>
      <c r="H29" s="3" t="s">
        <v>222</v>
      </c>
      <c r="I29" s="79"/>
      <c r="J29" s="41">
        <v>30342027.058504373</v>
      </c>
      <c r="K29" s="166"/>
      <c r="L29" s="3"/>
      <c r="M29" s="9">
        <f t="shared" si="2"/>
        <v>17</v>
      </c>
      <c r="N29" s="215" t="s">
        <v>221</v>
      </c>
      <c r="O29" s="173"/>
      <c r="P29" s="202"/>
      <c r="Q29" s="71"/>
      <c r="R29" s="9">
        <f t="shared" si="3"/>
        <v>17</v>
      </c>
      <c r="S29" s="3" t="s">
        <v>15</v>
      </c>
      <c r="T29" s="214"/>
      <c r="U29" s="79" t="s">
        <v>15</v>
      </c>
      <c r="Z29" s="9">
        <f t="shared" si="5"/>
        <v>17</v>
      </c>
      <c r="AA29" s="79"/>
      <c r="AB29" s="79"/>
      <c r="AC29" s="79"/>
      <c r="AD29" s="79"/>
      <c r="AE29" s="9">
        <f t="shared" si="6"/>
        <v>17</v>
      </c>
      <c r="AF29" s="213" t="s">
        <v>158</v>
      </c>
      <c r="AG29" s="212"/>
      <c r="AH29" s="212"/>
      <c r="AI29" s="211">
        <f>-AI26-AI28</f>
        <v>-4608844.2836874295</v>
      </c>
      <c r="AO29" s="9">
        <f t="shared" si="7"/>
        <v>17</v>
      </c>
      <c r="AP29" s="210" t="s">
        <v>158</v>
      </c>
      <c r="AQ29" s="71"/>
      <c r="AR29" s="71"/>
      <c r="AS29" s="71"/>
      <c r="AT29" s="71"/>
      <c r="AU29" s="71"/>
      <c r="AV29" s="71"/>
      <c r="AW29" s="201">
        <f>-AW26-AW28</f>
        <v>681065</v>
      </c>
      <c r="AX29" s="9">
        <f t="shared" si="8"/>
        <v>17</v>
      </c>
      <c r="AY29" s="49" t="s">
        <v>159</v>
      </c>
      <c r="AZ29" s="3"/>
      <c r="BA29" s="154">
        <f>k_FITrate</f>
        <v>0.35</v>
      </c>
      <c r="BB29" s="209">
        <f>-BB27*BA29</f>
        <v>-59178.640367391366</v>
      </c>
      <c r="BH29" s="9"/>
      <c r="BL29" s="9">
        <f t="shared" si="10"/>
        <v>17</v>
      </c>
      <c r="BM29" s="193"/>
      <c r="BN29" s="71"/>
      <c r="BO29" s="208"/>
      <c r="BP29" s="124">
        <f t="shared" si="11"/>
        <v>17</v>
      </c>
      <c r="BQ29" s="159" t="s">
        <v>220</v>
      </c>
      <c r="BR29" s="71"/>
      <c r="BS29" s="136">
        <f>-BS27*0.35</f>
        <v>92184.4968333336</v>
      </c>
      <c r="CD29" s="9">
        <v>17</v>
      </c>
      <c r="CE29" s="49" t="s">
        <v>158</v>
      </c>
      <c r="CF29" s="71"/>
      <c r="CG29" s="71"/>
      <c r="CH29" s="207">
        <f>-CH27-CH28</f>
        <v>-1357715.5890578774</v>
      </c>
      <c r="CI29" s="9">
        <f t="shared" si="14"/>
        <v>17</v>
      </c>
      <c r="CJ29" s="206" t="s">
        <v>219</v>
      </c>
      <c r="CK29" s="173"/>
      <c r="CL29" s="173"/>
      <c r="CM29" s="205">
        <f>+CM16+CM21+CM26</f>
        <v>11502217.306004424</v>
      </c>
      <c r="CN29" s="9"/>
      <c r="CS29" s="9"/>
      <c r="CT29" s="121"/>
      <c r="CU29" s="121"/>
      <c r="CV29" s="121"/>
      <c r="CW29" s="121"/>
      <c r="DA29" s="204"/>
      <c r="DC29" s="1">
        <f t="shared" si="18"/>
        <v>17</v>
      </c>
      <c r="DD29" s="203" t="s">
        <v>15</v>
      </c>
      <c r="DE29" s="180"/>
      <c r="DF29" s="180"/>
      <c r="DG29" s="180"/>
    </row>
    <row r="30" spans="1:120" ht="15" thickTop="1" thickBot="1">
      <c r="A30" s="124">
        <f t="shared" si="0"/>
        <v>19</v>
      </c>
      <c r="B30" s="190" t="s">
        <v>218</v>
      </c>
      <c r="C30" s="179" t="s">
        <v>15</v>
      </c>
      <c r="D30" s="157">
        <v>-32491234.77</v>
      </c>
      <c r="E30" s="71"/>
      <c r="F30" s="124">
        <f t="shared" si="1"/>
        <v>18</v>
      </c>
      <c r="G30" s="9"/>
      <c r="H30" s="3" t="s">
        <v>217</v>
      </c>
      <c r="I30" s="79"/>
      <c r="J30" s="41">
        <v>2348581.4038942917</v>
      </c>
      <c r="K30" s="41"/>
      <c r="L30" s="3"/>
      <c r="M30" s="9">
        <f t="shared" si="2"/>
        <v>18</v>
      </c>
      <c r="N30" s="3" t="s">
        <v>216</v>
      </c>
      <c r="O30" s="3"/>
      <c r="P30" s="202">
        <f>'EXHIBIT MCC-3r'!$P$13</f>
        <v>7.1570000000000002E-3</v>
      </c>
      <c r="Q30" s="71">
        <f>-SUM(Q14+Q15+Q16+Q17+Q18+Q19+Q20+Q24+Q26)*P30</f>
        <v>-1378053.9992858302</v>
      </c>
      <c r="R30" s="9">
        <f t="shared" si="3"/>
        <v>18</v>
      </c>
      <c r="S30" s="49" t="s">
        <v>215</v>
      </c>
      <c r="T30" s="49"/>
      <c r="U30" s="71">
        <f>U16-U24</f>
        <v>144836215.65657258</v>
      </c>
      <c r="Z30" s="9">
        <f t="shared" si="5"/>
        <v>18</v>
      </c>
      <c r="AA30" s="162" t="s">
        <v>214</v>
      </c>
      <c r="AB30" s="182">
        <v>846819.31998199993</v>
      </c>
      <c r="AC30" s="182">
        <v>539848.88443131489</v>
      </c>
      <c r="AD30" s="122">
        <f>AC30-AB30</f>
        <v>-306970.43555068504</v>
      </c>
      <c r="AE30" s="122"/>
      <c r="AF30" s="122"/>
      <c r="AG30" s="122"/>
      <c r="AH30" s="122"/>
      <c r="AI30" s="122"/>
      <c r="AX30" s="9">
        <f t="shared" si="8"/>
        <v>18</v>
      </c>
      <c r="AY30" s="49" t="s">
        <v>158</v>
      </c>
      <c r="AZ30" s="49"/>
      <c r="BA30" s="3"/>
      <c r="BB30" s="201">
        <f>-BB27-BB29</f>
        <v>-109903.18925372683</v>
      </c>
      <c r="BH30" s="9"/>
      <c r="BL30" s="9">
        <f t="shared" si="10"/>
        <v>18</v>
      </c>
      <c r="BM30" s="193" t="s">
        <v>213</v>
      </c>
      <c r="BN30" s="138">
        <v>0.35</v>
      </c>
      <c r="BO30" s="200">
        <f>-BO28*BN30</f>
        <v>0</v>
      </c>
      <c r="BP30" s="124">
        <f t="shared" si="11"/>
        <v>18</v>
      </c>
      <c r="BQ30" s="79"/>
      <c r="BR30" s="79"/>
      <c r="BS30" s="79"/>
      <c r="CI30" s="9">
        <f t="shared" si="14"/>
        <v>18</v>
      </c>
      <c r="CJ30" s="199" t="s">
        <v>212</v>
      </c>
      <c r="CK30" s="198">
        <v>0.54659120593235488</v>
      </c>
      <c r="CL30" s="198"/>
      <c r="CM30" s="197">
        <f>+CM29*CK30</f>
        <v>6287010.8281849604</v>
      </c>
      <c r="CS30" s="121"/>
      <c r="CT30" s="121"/>
      <c r="CU30" s="121"/>
      <c r="CV30" s="121"/>
      <c r="CW30" s="121"/>
      <c r="DC30" s="1">
        <f t="shared" si="18"/>
        <v>18</v>
      </c>
      <c r="DD30" s="176" t="s">
        <v>211</v>
      </c>
      <c r="DE30" s="196">
        <f>SUM(DE25:DE29)</f>
        <v>769761.48789010383</v>
      </c>
      <c r="DF30" s="196">
        <f>SUM(DF25:DF29)</f>
        <v>101997.73424324865</v>
      </c>
      <c r="DG30" s="196">
        <f>SUM(DG25:DG29)</f>
        <v>-667763.75364685524</v>
      </c>
    </row>
    <row r="31" spans="1:120" ht="15" thickTop="1" thickBot="1">
      <c r="A31" s="124">
        <f t="shared" si="0"/>
        <v>20</v>
      </c>
      <c r="B31" s="190" t="s">
        <v>210</v>
      </c>
      <c r="D31" s="133">
        <v>17718442.649999999</v>
      </c>
      <c r="E31" s="145"/>
      <c r="F31" s="124">
        <f t="shared" si="1"/>
        <v>19</v>
      </c>
      <c r="G31" s="3"/>
      <c r="H31" s="49" t="s">
        <v>209</v>
      </c>
      <c r="I31" s="79"/>
      <c r="J31" s="41">
        <v>259844.87765631173</v>
      </c>
      <c r="K31" s="41"/>
      <c r="L31" s="3"/>
      <c r="M31" s="9">
        <f t="shared" si="2"/>
        <v>19</v>
      </c>
      <c r="N31" s="3" t="s">
        <v>208</v>
      </c>
      <c r="O31" s="3"/>
      <c r="P31" s="195">
        <f>'EXHIBIT MCC-3r'!$P$14</f>
        <v>2E-3</v>
      </c>
      <c r="Q31" s="71">
        <f>-SUM(Q14+Q15+Q16+Q17+Q18+Q19+Q20+Q24+Q26)*P31</f>
        <v>-385092.63638000004</v>
      </c>
      <c r="R31" s="9">
        <f t="shared" si="3"/>
        <v>19</v>
      </c>
      <c r="S31" s="49" t="s">
        <v>207</v>
      </c>
      <c r="T31" s="3"/>
      <c r="U31" s="35">
        <f>U18+U19+U20-U25-U26-U27</f>
        <v>-117812976.8499999</v>
      </c>
      <c r="Z31" s="9">
        <f t="shared" si="5"/>
        <v>19</v>
      </c>
      <c r="AA31" s="79"/>
      <c r="AB31" s="194"/>
      <c r="AC31" s="194"/>
      <c r="AD31" s="194"/>
      <c r="AE31" s="137"/>
      <c r="AF31" s="137"/>
      <c r="AG31" s="137"/>
      <c r="AH31" s="137"/>
      <c r="AI31" s="137"/>
      <c r="AP31" s="106" t="s">
        <v>186</v>
      </c>
      <c r="AX31" s="9"/>
      <c r="BL31" s="9">
        <f t="shared" si="10"/>
        <v>19</v>
      </c>
      <c r="BM31" s="193" t="s">
        <v>206</v>
      </c>
      <c r="BN31" s="19"/>
      <c r="BO31" s="175">
        <f>-BO28-BO30</f>
        <v>0</v>
      </c>
      <c r="BP31" s="124">
        <f t="shared" si="11"/>
        <v>19</v>
      </c>
      <c r="BQ31" s="79" t="s">
        <v>158</v>
      </c>
      <c r="BR31" s="79"/>
      <c r="BS31" s="192">
        <f>-BS27-BS29</f>
        <v>171199.77983333383</v>
      </c>
      <c r="CD31" s="129"/>
      <c r="CE31" s="106" t="s">
        <v>186</v>
      </c>
      <c r="CH31" s="19"/>
      <c r="CI31" s="9">
        <f t="shared" si="14"/>
        <v>19</v>
      </c>
      <c r="CJ31" s="129" t="s">
        <v>205</v>
      </c>
      <c r="CK31" s="178"/>
      <c r="CL31" s="178"/>
      <c r="CM31" s="191">
        <f>(+CL14+CL19+CL24)*CK30</f>
        <v>6138235.1517870678</v>
      </c>
      <c r="CS31" s="121"/>
      <c r="CT31" s="121"/>
      <c r="CU31" s="121"/>
      <c r="CV31" s="121"/>
      <c r="CW31" s="121"/>
      <c r="DC31" s="1">
        <f t="shared" si="18"/>
        <v>19</v>
      </c>
    </row>
    <row r="32" spans="1:120" ht="15" thickTop="1" thickBot="1">
      <c r="A32" s="124">
        <f t="shared" si="0"/>
        <v>21</v>
      </c>
      <c r="B32" s="190" t="s">
        <v>204</v>
      </c>
      <c r="C32" s="179"/>
      <c r="D32" s="148">
        <f>SUM(D28:D31)</f>
        <v>-10225162.969999999</v>
      </c>
      <c r="F32" s="124">
        <f t="shared" si="1"/>
        <v>20</v>
      </c>
      <c r="G32" s="3"/>
      <c r="H32" s="3" t="s">
        <v>203</v>
      </c>
      <c r="I32" s="79"/>
      <c r="J32" s="41">
        <v>-30377.788362872634</v>
      </c>
      <c r="K32" s="41"/>
      <c r="L32" s="3"/>
      <c r="M32" s="9">
        <f t="shared" si="2"/>
        <v>20</v>
      </c>
      <c r="N32" s="3" t="s">
        <v>202</v>
      </c>
      <c r="O32" s="3"/>
      <c r="P32" s="189">
        <f>'EXHIBIT MCC-3r'!$P$15</f>
        <v>3.8456999999999998E-2</v>
      </c>
      <c r="Q32" s="71">
        <f>-SUM(Q14+Q15+Q16+Q17+Q18+Q19+Q20+Q24+Q26)*P32</f>
        <v>-7404753.7586328303</v>
      </c>
      <c r="R32" s="9">
        <f t="shared" si="3"/>
        <v>20</v>
      </c>
      <c r="S32" s="49" t="s">
        <v>201</v>
      </c>
      <c r="T32" s="49"/>
      <c r="U32" s="175">
        <f>-SUM(U30:U31)</f>
        <v>-27023238.806572676</v>
      </c>
      <c r="Z32" s="9">
        <f t="shared" si="5"/>
        <v>20</v>
      </c>
      <c r="AA32" s="79"/>
      <c r="AB32" s="79"/>
      <c r="AC32" s="79"/>
      <c r="AD32" s="79"/>
      <c r="AE32" s="79"/>
      <c r="AF32" s="79"/>
      <c r="AG32" s="79"/>
      <c r="AH32" s="79"/>
      <c r="AI32" s="79"/>
      <c r="AX32" s="9"/>
      <c r="AY32" s="106" t="s">
        <v>186</v>
      </c>
      <c r="BL32" s="9"/>
      <c r="BQ32" s="159"/>
      <c r="BR32" s="159"/>
      <c r="BS32" s="159"/>
      <c r="CD32" s="121"/>
      <c r="CE32" s="121"/>
      <c r="CF32" s="121"/>
      <c r="CG32" s="121"/>
      <c r="CH32" s="121"/>
      <c r="CI32" s="9">
        <f t="shared" si="14"/>
        <v>20</v>
      </c>
      <c r="CJ32" s="188" t="s">
        <v>198</v>
      </c>
      <c r="CK32" s="187"/>
      <c r="CL32" s="187"/>
      <c r="CM32" s="186">
        <f>CM30-CM31</f>
        <v>148775.67639789265</v>
      </c>
      <c r="CS32" s="121"/>
      <c r="CT32" s="121"/>
      <c r="CU32" s="121"/>
      <c r="CV32" s="121"/>
      <c r="CW32" s="121"/>
      <c r="DC32" s="1">
        <f t="shared" si="18"/>
        <v>20</v>
      </c>
      <c r="DD32" s="176" t="s">
        <v>159</v>
      </c>
      <c r="DF32" s="185">
        <v>0.35</v>
      </c>
      <c r="DG32" s="133">
        <f>-DG30*DF32</f>
        <v>233717.31377639933</v>
      </c>
    </row>
    <row r="33" spans="1:111" ht="13.5" thickTop="1">
      <c r="A33" s="124">
        <f t="shared" si="0"/>
        <v>22</v>
      </c>
      <c r="B33" s="151" t="s">
        <v>200</v>
      </c>
      <c r="C33" s="179"/>
      <c r="D33" s="145"/>
      <c r="E33" s="184">
        <f>+D32+D23+D25</f>
        <v>-28861313.910117842</v>
      </c>
      <c r="F33" s="124">
        <f t="shared" si="1"/>
        <v>21</v>
      </c>
      <c r="G33" s="3"/>
      <c r="H33" s="49" t="s">
        <v>199</v>
      </c>
      <c r="I33" s="79"/>
      <c r="J33" s="41">
        <v>0</v>
      </c>
      <c r="K33" s="41"/>
      <c r="L33" s="3"/>
      <c r="M33" s="9">
        <f t="shared" si="2"/>
        <v>21</v>
      </c>
      <c r="N33" s="3" t="s">
        <v>64</v>
      </c>
      <c r="O33" s="3"/>
      <c r="P33" s="133"/>
      <c r="Q33" s="183">
        <f>SUM(Q30:Q32)</f>
        <v>-9167900.3942986615</v>
      </c>
      <c r="R33" s="9"/>
      <c r="S33" s="49"/>
      <c r="T33" s="178"/>
      <c r="U33" s="3"/>
      <c r="Z33" s="9">
        <f t="shared" si="5"/>
        <v>21</v>
      </c>
      <c r="AA33" s="79" t="s">
        <v>198</v>
      </c>
      <c r="AB33" s="79"/>
      <c r="AC33" s="79"/>
      <c r="AD33" s="877">
        <f>AD23+AD28+AD30</f>
        <v>32808821.581151754</v>
      </c>
      <c r="AE33" s="182"/>
      <c r="AF33" s="182"/>
      <c r="AG33" s="182"/>
      <c r="AH33" s="182"/>
      <c r="AI33" s="182"/>
      <c r="AX33" s="49"/>
      <c r="BL33" s="9"/>
      <c r="BM33" s="71"/>
      <c r="BN33" s="71"/>
      <c r="CD33" s="121"/>
      <c r="CE33" s="121"/>
      <c r="CF33" s="121"/>
      <c r="CG33" s="121"/>
      <c r="CH33" s="121"/>
      <c r="CI33" s="9">
        <f t="shared" si="14"/>
        <v>21</v>
      </c>
      <c r="CJ33" s="181"/>
      <c r="CK33" s="173"/>
      <c r="CL33" s="173"/>
      <c r="CM33" s="79"/>
      <c r="CS33" s="121"/>
      <c r="CT33" s="121"/>
      <c r="CU33" s="121"/>
      <c r="CV33" s="121"/>
      <c r="CW33" s="121"/>
      <c r="DC33" s="1">
        <f t="shared" si="18"/>
        <v>21</v>
      </c>
      <c r="DG33" s="180"/>
    </row>
    <row r="34" spans="1:111" ht="14.25" thickBot="1">
      <c r="A34" s="124">
        <f t="shared" si="0"/>
        <v>23</v>
      </c>
      <c r="B34" s="3" t="s">
        <v>197</v>
      </c>
      <c r="C34" s="179"/>
      <c r="D34" s="3"/>
      <c r="E34" s="145"/>
      <c r="F34" s="124">
        <f t="shared" si="1"/>
        <v>22</v>
      </c>
      <c r="G34" s="3"/>
      <c r="H34" s="49" t="s">
        <v>196</v>
      </c>
      <c r="I34" s="79"/>
      <c r="J34" s="41">
        <v>36096.11370170481</v>
      </c>
      <c r="K34" s="41"/>
      <c r="L34" s="3"/>
      <c r="M34" s="9">
        <f t="shared" si="2"/>
        <v>22</v>
      </c>
      <c r="N34" s="3"/>
      <c r="O34" s="3"/>
      <c r="P34" s="133"/>
      <c r="Q34" s="71"/>
      <c r="R34" s="9"/>
      <c r="S34" s="3"/>
      <c r="T34" s="3"/>
      <c r="U34" s="4"/>
      <c r="Z34" s="9">
        <f t="shared" si="5"/>
        <v>22</v>
      </c>
      <c r="AA34" s="79" t="s">
        <v>161</v>
      </c>
      <c r="AB34" s="79"/>
      <c r="AC34" s="79"/>
      <c r="AD34" s="879">
        <f>-AD33*0.35</f>
        <v>-11483087.553403113</v>
      </c>
      <c r="AE34" s="71"/>
      <c r="AF34" s="71"/>
      <c r="AG34" s="71"/>
      <c r="AH34" s="71"/>
      <c r="AI34" s="71"/>
      <c r="AX34" s="9"/>
      <c r="BL34" s="9"/>
      <c r="CD34" s="121"/>
      <c r="CE34" s="121"/>
      <c r="CF34" s="121"/>
      <c r="CG34" s="121"/>
      <c r="CH34" s="121"/>
      <c r="CI34" s="9">
        <f t="shared" si="14"/>
        <v>22</v>
      </c>
      <c r="CJ34" s="129" t="s">
        <v>159</v>
      </c>
      <c r="CK34" s="178">
        <f>k_FITrate</f>
        <v>0.35</v>
      </c>
      <c r="CL34" s="178"/>
      <c r="CM34" s="177">
        <f>ROUND(-CM32*CK34,0)</f>
        <v>-52071</v>
      </c>
      <c r="CS34" s="121"/>
      <c r="CT34" s="121"/>
      <c r="CU34" s="121"/>
      <c r="CV34" s="121"/>
      <c r="CW34" s="121"/>
      <c r="DC34" s="1">
        <f t="shared" si="18"/>
        <v>22</v>
      </c>
      <c r="DD34" s="176" t="s">
        <v>158</v>
      </c>
      <c r="DG34" s="175">
        <f>-DG30-DG32</f>
        <v>434046.43987045588</v>
      </c>
    </row>
    <row r="35" spans="1:111" ht="15" thickTop="1" thickBot="1">
      <c r="A35" s="124">
        <f t="shared" si="0"/>
        <v>24</v>
      </c>
      <c r="B35" s="171" t="s">
        <v>195</v>
      </c>
      <c r="C35" s="3"/>
      <c r="D35" s="137">
        <v>-22899640</v>
      </c>
      <c r="E35" s="3"/>
      <c r="F35" s="124">
        <f t="shared" si="1"/>
        <v>23</v>
      </c>
      <c r="G35" s="3"/>
      <c r="H35" s="3" t="s">
        <v>194</v>
      </c>
      <c r="I35" s="79"/>
      <c r="J35" s="41">
        <v>243110.74574355647</v>
      </c>
      <c r="K35" s="41"/>
      <c r="L35" s="3"/>
      <c r="M35" s="9">
        <f t="shared" si="2"/>
        <v>23</v>
      </c>
      <c r="N35" s="174" t="s">
        <v>193</v>
      </c>
      <c r="O35" s="3"/>
      <c r="P35" s="133"/>
      <c r="Q35" s="71"/>
      <c r="R35" s="9"/>
      <c r="Z35" s="9">
        <f t="shared" si="5"/>
        <v>23</v>
      </c>
      <c r="AA35" s="79" t="s">
        <v>158</v>
      </c>
      <c r="AB35" s="79"/>
      <c r="AC35" s="79"/>
      <c r="AD35" s="880">
        <f>-AD33-AD34</f>
        <v>-21325734.027748641</v>
      </c>
      <c r="AE35" s="166"/>
      <c r="AF35" s="166"/>
      <c r="AG35" s="166"/>
      <c r="AH35" s="166"/>
      <c r="AI35" s="166"/>
      <c r="AX35" s="9"/>
      <c r="BL35" s="9"/>
      <c r="CD35" s="121"/>
      <c r="CE35" s="121"/>
      <c r="CF35" s="121"/>
      <c r="CG35" s="121"/>
      <c r="CH35" s="121"/>
      <c r="CI35" s="9">
        <f t="shared" si="14"/>
        <v>23</v>
      </c>
      <c r="CJ35" s="129" t="s">
        <v>158</v>
      </c>
      <c r="CK35" s="173"/>
      <c r="CL35" s="173"/>
      <c r="CM35" s="172">
        <f>-CM32-CM34</f>
        <v>-96704.676397892646</v>
      </c>
      <c r="CS35" s="121"/>
      <c r="CT35" s="121"/>
      <c r="CU35" s="121"/>
      <c r="CV35" s="121"/>
      <c r="CW35" s="121"/>
      <c r="DC35" s="1">
        <f t="shared" si="18"/>
        <v>23</v>
      </c>
    </row>
    <row r="36" spans="1:111" ht="13.5" thickTop="1">
      <c r="A36" s="124">
        <f t="shared" si="0"/>
        <v>25</v>
      </c>
      <c r="B36" s="171" t="s">
        <v>192</v>
      </c>
      <c r="D36" s="137"/>
      <c r="E36" s="71"/>
      <c r="F36" s="124">
        <f t="shared" si="1"/>
        <v>24</v>
      </c>
      <c r="G36" s="3"/>
      <c r="H36" s="49" t="s">
        <v>191</v>
      </c>
      <c r="I36" s="79"/>
      <c r="J36" s="41">
        <v>7649.162224561248</v>
      </c>
      <c r="K36" s="41"/>
      <c r="L36" s="3"/>
      <c r="M36" s="9">
        <f t="shared" si="2"/>
        <v>24</v>
      </c>
      <c r="N36" s="141" t="s">
        <v>190</v>
      </c>
      <c r="O36" s="3"/>
      <c r="P36" s="133"/>
      <c r="Q36" s="140">
        <v>-97540765.159999996</v>
      </c>
      <c r="Z36" s="9">
        <f t="shared" si="5"/>
        <v>24</v>
      </c>
      <c r="AA36" s="79"/>
      <c r="AB36" s="79"/>
      <c r="AC36" s="79"/>
      <c r="AD36" s="79"/>
      <c r="AE36" s="79"/>
      <c r="AF36" s="79"/>
      <c r="AG36" s="79"/>
      <c r="AH36" s="79"/>
      <c r="AI36" s="79"/>
      <c r="AX36" s="9"/>
      <c r="BL36" s="9"/>
      <c r="BM36" s="71"/>
      <c r="BN36" s="71"/>
      <c r="BO36" s="71"/>
      <c r="CD36" s="121"/>
      <c r="CE36" s="121"/>
      <c r="CF36" s="121"/>
      <c r="CG36" s="121"/>
      <c r="CH36" s="121"/>
      <c r="CS36" s="121"/>
      <c r="CT36" s="121"/>
      <c r="CU36" s="121"/>
      <c r="CV36" s="121"/>
      <c r="CW36" s="121"/>
    </row>
    <row r="37" spans="1:111" ht="13.5">
      <c r="A37" s="124">
        <f t="shared" si="0"/>
        <v>26</v>
      </c>
      <c r="B37" s="171" t="s">
        <v>189</v>
      </c>
      <c r="C37" s="3"/>
      <c r="D37" s="137">
        <v>40241934.120000005</v>
      </c>
      <c r="F37" s="124">
        <f t="shared" si="1"/>
        <v>25</v>
      </c>
      <c r="G37" s="3"/>
      <c r="H37" s="49" t="s">
        <v>188</v>
      </c>
      <c r="I37" s="79"/>
      <c r="J37" s="41">
        <v>8422.9252188172595</v>
      </c>
      <c r="K37" s="41"/>
      <c r="L37" s="3"/>
      <c r="M37" s="9">
        <f t="shared" si="2"/>
        <v>25</v>
      </c>
      <c r="N37" s="129" t="s">
        <v>187</v>
      </c>
      <c r="O37" s="3"/>
      <c r="P37" s="133"/>
      <c r="Q37" s="140">
        <v>-55961766.059999995</v>
      </c>
      <c r="Z37" s="9">
        <f t="shared" si="5"/>
        <v>25</v>
      </c>
      <c r="AA37" s="170"/>
      <c r="AB37" s="79"/>
      <c r="AC37" s="79"/>
      <c r="AD37" s="79"/>
      <c r="AE37" s="79"/>
      <c r="AF37" s="79"/>
      <c r="AG37" s="79"/>
      <c r="AH37" s="79"/>
      <c r="AI37" s="79"/>
      <c r="AX37" s="9"/>
      <c r="BL37" s="9"/>
      <c r="BM37" s="71"/>
      <c r="BN37" s="71"/>
      <c r="BO37" s="71"/>
      <c r="BT37" s="159"/>
      <c r="BU37" s="159"/>
      <c r="BV37" s="159"/>
      <c r="BW37" s="159"/>
      <c r="BX37" s="159"/>
      <c r="BY37" s="159"/>
      <c r="BZ37" s="159"/>
      <c r="CA37" s="159"/>
      <c r="CD37" s="121"/>
      <c r="CE37" s="121"/>
      <c r="CF37" s="121"/>
      <c r="CG37" s="121"/>
      <c r="CH37" s="121"/>
      <c r="CI37" s="129"/>
      <c r="CJ37" s="106" t="s">
        <v>186</v>
      </c>
      <c r="CS37" s="121"/>
      <c r="CT37" s="121"/>
      <c r="CU37" s="121"/>
      <c r="CV37" s="121"/>
      <c r="CW37" s="121"/>
    </row>
    <row r="38" spans="1:111">
      <c r="A38" s="124">
        <f t="shared" si="0"/>
        <v>27</v>
      </c>
      <c r="B38" s="151" t="s">
        <v>185</v>
      </c>
      <c r="C38" s="3"/>
      <c r="D38" s="169"/>
      <c r="E38" s="145"/>
      <c r="F38" s="124">
        <f t="shared" si="1"/>
        <v>26</v>
      </c>
      <c r="G38" s="3"/>
      <c r="H38" s="49" t="s">
        <v>184</v>
      </c>
      <c r="I38" s="79"/>
      <c r="J38" s="41">
        <v>-13647.181252848119</v>
      </c>
      <c r="K38" s="41"/>
      <c r="L38" s="168"/>
      <c r="M38" s="9">
        <f t="shared" si="2"/>
        <v>26</v>
      </c>
      <c r="N38" s="141" t="s">
        <v>183</v>
      </c>
      <c r="O38" s="3"/>
      <c r="P38" s="133"/>
      <c r="Q38" s="140">
        <v>-80920052.489999995</v>
      </c>
      <c r="Z38" s="9">
        <f t="shared" si="5"/>
        <v>26</v>
      </c>
      <c r="AA38" s="167" t="s">
        <v>182</v>
      </c>
      <c r="AB38" s="79"/>
      <c r="AC38" s="79"/>
      <c r="AD38" s="79"/>
      <c r="AE38" s="79"/>
      <c r="AF38" s="79"/>
      <c r="AG38" s="79"/>
      <c r="AH38" s="79"/>
      <c r="AI38" s="79"/>
      <c r="AX38" s="9"/>
      <c r="BL38" s="9"/>
      <c r="BM38" s="71"/>
      <c r="BN38" s="71"/>
      <c r="BO38" s="71"/>
      <c r="BT38" s="79"/>
      <c r="BU38" s="79"/>
      <c r="BV38" s="79"/>
      <c r="BW38" s="79"/>
      <c r="BX38" s="79"/>
      <c r="BY38" s="79"/>
      <c r="BZ38" s="79"/>
      <c r="CA38" s="79"/>
      <c r="CD38" s="121"/>
      <c r="CE38" s="121"/>
      <c r="CF38" s="121"/>
      <c r="CG38" s="121"/>
      <c r="CH38" s="121"/>
      <c r="CS38" s="121"/>
      <c r="CT38" s="121"/>
      <c r="CU38" s="121"/>
      <c r="CV38" s="121"/>
      <c r="CW38" s="121"/>
    </row>
    <row r="39" spans="1:111">
      <c r="A39" s="124">
        <f t="shared" si="0"/>
        <v>28</v>
      </c>
      <c r="B39" s="145"/>
      <c r="C39" s="3"/>
      <c r="D39" s="145"/>
      <c r="E39" s="148">
        <f>+D35+D37</f>
        <v>17342294.120000005</v>
      </c>
      <c r="F39" s="124">
        <f t="shared" si="1"/>
        <v>27</v>
      </c>
      <c r="G39" s="3"/>
      <c r="H39" s="3" t="s">
        <v>181</v>
      </c>
      <c r="I39" s="79"/>
      <c r="J39" s="41">
        <v>6197.3419463974533</v>
      </c>
      <c r="K39" s="41"/>
      <c r="L39" s="3"/>
      <c r="M39" s="9">
        <f t="shared" si="2"/>
        <v>27</v>
      </c>
      <c r="N39" s="141" t="s">
        <v>180</v>
      </c>
      <c r="O39" s="3"/>
      <c r="P39" s="133"/>
      <c r="Q39" s="140">
        <v>-16296500.52</v>
      </c>
      <c r="Z39" s="9">
        <f t="shared" si="5"/>
        <v>27</v>
      </c>
      <c r="AA39" s="79" t="s">
        <v>179</v>
      </c>
      <c r="AB39" s="154">
        <v>0.5</v>
      </c>
      <c r="AC39" s="79"/>
      <c r="AD39" s="881">
        <f>-AD33*AB39</f>
        <v>-16404410.790575877</v>
      </c>
      <c r="AE39" s="166"/>
      <c r="AF39" s="166"/>
      <c r="AG39" s="166"/>
      <c r="AH39" s="166"/>
      <c r="AI39" s="166"/>
      <c r="AX39" s="9"/>
      <c r="AY39" s="3"/>
      <c r="AZ39" s="3"/>
      <c r="BA39" s="3"/>
      <c r="BL39" s="9"/>
      <c r="BM39" s="71"/>
      <c r="BN39" s="71"/>
      <c r="BO39" s="71"/>
      <c r="BT39" s="79"/>
      <c r="BU39" s="79"/>
      <c r="BV39" s="79"/>
      <c r="BW39" s="79"/>
      <c r="BX39" s="79"/>
      <c r="BY39" s="79"/>
      <c r="BZ39" s="79"/>
      <c r="CA39" s="79"/>
      <c r="CD39" s="121"/>
      <c r="CE39" s="121"/>
      <c r="CF39" s="121"/>
      <c r="CG39" s="121"/>
      <c r="CH39" s="121"/>
      <c r="CQ39" s="9"/>
      <c r="CS39" s="121"/>
      <c r="CT39" s="121"/>
      <c r="CU39" s="121"/>
      <c r="CV39" s="121"/>
      <c r="CW39" s="121"/>
    </row>
    <row r="40" spans="1:111">
      <c r="A40" s="124">
        <f t="shared" si="0"/>
        <v>29</v>
      </c>
      <c r="B40" s="143" t="s">
        <v>171</v>
      </c>
      <c r="C40" s="150">
        <f>+'EXHIBIT MCC-3r'!$P$13</f>
        <v>7.1570000000000002E-3</v>
      </c>
      <c r="D40" s="153">
        <f>+$E$33*C40</f>
        <v>-206560.42365471341</v>
      </c>
      <c r="E40" s="145"/>
      <c r="F40" s="124">
        <f t="shared" si="1"/>
        <v>28</v>
      </c>
      <c r="G40" s="3"/>
      <c r="H40" s="3"/>
      <c r="I40" s="79"/>
      <c r="J40" s="83"/>
      <c r="K40" s="136"/>
      <c r="L40" s="165"/>
      <c r="M40" s="9">
        <f t="shared" si="2"/>
        <v>28</v>
      </c>
      <c r="N40" s="164" t="s">
        <v>178</v>
      </c>
      <c r="O40" s="3"/>
      <c r="P40" s="133"/>
      <c r="Q40" s="140">
        <v>69268219.670000002</v>
      </c>
      <c r="Z40" s="9">
        <f t="shared" si="5"/>
        <v>28</v>
      </c>
      <c r="AA40" s="155" t="s">
        <v>177</v>
      </c>
      <c r="AB40" s="163"/>
      <c r="AC40" s="162"/>
      <c r="AD40" s="882">
        <v>5741543.7767015649</v>
      </c>
      <c r="AE40" s="161"/>
      <c r="AF40" s="161"/>
      <c r="AG40" s="161"/>
      <c r="AH40" s="161"/>
      <c r="AI40" s="161"/>
      <c r="AX40" s="9"/>
      <c r="BB40" s="160"/>
      <c r="BL40" s="9"/>
      <c r="BT40" s="159"/>
      <c r="BU40" s="159"/>
      <c r="BV40" s="159"/>
      <c r="BW40" s="159"/>
      <c r="BX40" s="159"/>
      <c r="BY40" s="159"/>
      <c r="BZ40" s="159"/>
      <c r="CA40" s="159"/>
      <c r="CD40" s="121"/>
      <c r="CE40" s="121"/>
      <c r="CF40" s="121"/>
      <c r="CG40" s="121"/>
      <c r="CH40" s="121"/>
      <c r="CQ40" s="9"/>
      <c r="CS40" s="121"/>
      <c r="CT40" s="121"/>
      <c r="CU40" s="121"/>
      <c r="CV40" s="121"/>
      <c r="CW40" s="121"/>
    </row>
    <row r="41" spans="1:111">
      <c r="A41" s="124">
        <f t="shared" si="0"/>
        <v>30</v>
      </c>
      <c r="B41" s="158" t="s">
        <v>169</v>
      </c>
      <c r="C41" s="150">
        <f>+'EXHIBIT MCC-3r'!$P$14</f>
        <v>2E-3</v>
      </c>
      <c r="D41" s="153">
        <f>+$E$33*C41</f>
        <v>-57722.627820235684</v>
      </c>
      <c r="E41" s="157"/>
      <c r="F41" s="124">
        <f t="shared" si="1"/>
        <v>29</v>
      </c>
      <c r="G41" s="3" t="s">
        <v>176</v>
      </c>
      <c r="H41" s="3"/>
      <c r="I41" s="3"/>
      <c r="J41" s="71">
        <f>SUM(J29:J40)</f>
        <v>33207904.659274291</v>
      </c>
      <c r="K41" s="71"/>
      <c r="L41" s="41">
        <f>J41</f>
        <v>33207904.659274291</v>
      </c>
      <c r="M41" s="9">
        <f t="shared" si="2"/>
        <v>29</v>
      </c>
      <c r="N41" s="156" t="s">
        <v>175</v>
      </c>
      <c r="O41" s="3"/>
      <c r="P41" s="133"/>
      <c r="Q41" s="140">
        <v>138514.25</v>
      </c>
      <c r="Z41" s="9">
        <f t="shared" si="5"/>
        <v>29</v>
      </c>
      <c r="AA41" s="155"/>
      <c r="AB41" s="154"/>
      <c r="AC41" s="79"/>
      <c r="AD41" s="71"/>
      <c r="AE41" s="71"/>
      <c r="AF41" s="71"/>
      <c r="AG41" s="71"/>
      <c r="AH41" s="71"/>
      <c r="AI41" s="71"/>
      <c r="AX41" s="9"/>
      <c r="BL41" s="9"/>
      <c r="CD41" s="121"/>
      <c r="CE41" s="121"/>
      <c r="CF41" s="121"/>
      <c r="CG41" s="121"/>
      <c r="CH41" s="121"/>
      <c r="CQ41" s="9"/>
      <c r="CS41" s="121"/>
      <c r="CT41" s="121"/>
      <c r="CU41" s="121"/>
      <c r="CV41" s="121"/>
      <c r="CW41" s="121"/>
    </row>
    <row r="42" spans="1:111" ht="15.75" customHeight="1" thickBot="1">
      <c r="A42" s="124">
        <f t="shared" si="0"/>
        <v>31</v>
      </c>
      <c r="B42" s="49" t="s">
        <v>164</v>
      </c>
      <c r="C42" s="150">
        <f>+'EXHIBIT MCC-3r'!$P$15</f>
        <v>3.8456999999999998E-2</v>
      </c>
      <c r="D42" s="153">
        <f>+$E$33*C42</f>
        <v>-1109919.5490414018</v>
      </c>
      <c r="E42" s="71"/>
      <c r="F42" s="124">
        <f t="shared" si="1"/>
        <v>30</v>
      </c>
      <c r="G42" s="152"/>
      <c r="H42" s="152"/>
      <c r="I42" s="137"/>
      <c r="J42" s="137"/>
      <c r="K42" s="64"/>
      <c r="L42" s="3"/>
      <c r="M42" s="9">
        <f t="shared" si="2"/>
        <v>30</v>
      </c>
      <c r="N42" s="146" t="s">
        <v>174</v>
      </c>
      <c r="O42" s="3"/>
      <c r="P42" s="133"/>
      <c r="Q42" s="140">
        <v>-979067.74</v>
      </c>
      <c r="Z42" s="9">
        <f t="shared" si="5"/>
        <v>30</v>
      </c>
      <c r="AA42" s="79" t="s">
        <v>173</v>
      </c>
      <c r="AB42" s="79"/>
      <c r="AC42" s="79"/>
      <c r="AD42" s="883">
        <f>SUM(AD39:AD41)</f>
        <v>-10662867.013874311</v>
      </c>
      <c r="AE42" s="64"/>
      <c r="AF42" s="64"/>
      <c r="AG42" s="64"/>
      <c r="AH42" s="64"/>
      <c r="AI42" s="64"/>
      <c r="AX42" s="9"/>
      <c r="BL42" s="9"/>
      <c r="CD42" s="121"/>
      <c r="CE42" s="121"/>
      <c r="CF42" s="121"/>
      <c r="CG42" s="121"/>
      <c r="CH42" s="121"/>
      <c r="CS42" s="121"/>
      <c r="CT42" s="121"/>
      <c r="CU42" s="121"/>
      <c r="CV42" s="121"/>
      <c r="CW42" s="121"/>
    </row>
    <row r="43" spans="1:111" ht="13.5" thickTop="1">
      <c r="A43" s="124">
        <f t="shared" si="0"/>
        <v>32</v>
      </c>
      <c r="B43" s="151" t="s">
        <v>172</v>
      </c>
      <c r="C43" s="150"/>
      <c r="D43" s="149"/>
      <c r="E43" s="145"/>
      <c r="F43" s="124">
        <f t="shared" si="1"/>
        <v>31</v>
      </c>
      <c r="G43" s="49" t="s">
        <v>171</v>
      </c>
      <c r="H43" s="49"/>
      <c r="I43" s="49"/>
      <c r="J43" s="139">
        <f>+'EXHIBIT MCC-3r'!P13</f>
        <v>7.1570000000000002E-3</v>
      </c>
      <c r="K43" s="71">
        <f>ROUND(L41*J43,0)</f>
        <v>237669</v>
      </c>
      <c r="L43" s="71"/>
      <c r="M43" s="9">
        <f t="shared" si="2"/>
        <v>31</v>
      </c>
      <c r="N43" s="146" t="s">
        <v>170</v>
      </c>
      <c r="O43" s="4"/>
      <c r="P43" s="133"/>
      <c r="Q43" s="140">
        <v>-41429.58</v>
      </c>
      <c r="Z43" s="71"/>
      <c r="AA43" s="79"/>
      <c r="AB43" s="79"/>
      <c r="AC43" s="79"/>
      <c r="AD43" s="79"/>
      <c r="AE43" s="79"/>
      <c r="AF43" s="79"/>
      <c r="AG43" s="79"/>
      <c r="AH43" s="79"/>
      <c r="AI43" s="79"/>
      <c r="AX43" s="9"/>
      <c r="BL43" s="9"/>
      <c r="BM43" s="71"/>
      <c r="BN43" s="71"/>
      <c r="BO43" s="71"/>
      <c r="CD43" s="121"/>
      <c r="CE43" s="121"/>
      <c r="CF43" s="121"/>
      <c r="CG43" s="121"/>
      <c r="CH43" s="121"/>
      <c r="CS43" s="121"/>
      <c r="CT43" s="121"/>
      <c r="CU43" s="121"/>
      <c r="CV43" s="121"/>
      <c r="CW43" s="121"/>
    </row>
    <row r="44" spans="1:111">
      <c r="A44" s="124">
        <f t="shared" si="0"/>
        <v>33</v>
      </c>
      <c r="B44" s="145"/>
      <c r="C44" s="145"/>
      <c r="D44" s="145"/>
      <c r="E44" s="148">
        <f>SUM(D40:D42)</f>
        <v>-1374202.6005163509</v>
      </c>
      <c r="F44" s="124">
        <f t="shared" si="1"/>
        <v>32</v>
      </c>
      <c r="G44" s="49" t="s">
        <v>169</v>
      </c>
      <c r="H44" s="49"/>
      <c r="I44" s="49"/>
      <c r="J44" s="139">
        <f>+'EXHIBIT MCC-3r'!P14</f>
        <v>2E-3</v>
      </c>
      <c r="K44" s="147">
        <f>ROUND(L41*J44,0)</f>
        <v>66416</v>
      </c>
      <c r="L44" s="71"/>
      <c r="M44" s="9">
        <f t="shared" si="2"/>
        <v>32</v>
      </c>
      <c r="N44" s="146" t="s">
        <v>168</v>
      </c>
      <c r="O44" s="4"/>
      <c r="P44" s="133"/>
      <c r="Q44" s="140">
        <v>-11150.8</v>
      </c>
      <c r="Z44" s="122"/>
      <c r="AA44" s="64"/>
      <c r="AB44" s="64"/>
      <c r="AC44" s="64"/>
      <c r="AD44" s="64"/>
      <c r="AE44" s="64"/>
      <c r="AF44" s="64"/>
      <c r="AG44" s="64"/>
      <c r="AH44" s="64"/>
      <c r="AI44" s="64"/>
      <c r="AX44" s="9"/>
      <c r="BL44" s="9"/>
      <c r="BM44" s="71"/>
      <c r="BN44" s="71"/>
      <c r="BO44" s="71"/>
      <c r="CD44" s="121"/>
      <c r="CE44" s="121"/>
      <c r="CF44" s="121"/>
      <c r="CG44" s="121"/>
      <c r="CH44" s="121"/>
      <c r="CS44" s="121"/>
      <c r="CT44" s="121"/>
      <c r="CU44" s="121"/>
      <c r="CV44" s="121"/>
      <c r="CW44" s="121"/>
    </row>
    <row r="45" spans="1:111">
      <c r="A45" s="124">
        <v>31</v>
      </c>
      <c r="B45" s="143" t="s">
        <v>160</v>
      </c>
      <c r="C45" s="131"/>
      <c r="D45" s="79"/>
      <c r="E45" s="145"/>
      <c r="F45" s="124">
        <f t="shared" si="1"/>
        <v>33</v>
      </c>
      <c r="G45" s="74" t="s">
        <v>167</v>
      </c>
      <c r="H45" s="49"/>
      <c r="I45" s="49"/>
      <c r="J45" s="139"/>
      <c r="K45" s="79"/>
      <c r="L45" s="71">
        <f>SUM(K43:K44)</f>
        <v>304085</v>
      </c>
      <c r="M45" s="9">
        <f t="shared" si="2"/>
        <v>33</v>
      </c>
      <c r="N45" s="141" t="s">
        <v>166</v>
      </c>
      <c r="O45" s="4"/>
      <c r="P45" s="133"/>
      <c r="Q45" s="144">
        <v>226820.57</v>
      </c>
      <c r="Z45" s="122"/>
      <c r="AX45" s="9"/>
      <c r="AY45" s="123"/>
      <c r="AZ45" s="123"/>
      <c r="BA45" s="123"/>
      <c r="BB45" s="123"/>
      <c r="BL45" s="9"/>
      <c r="BM45" s="71"/>
      <c r="BN45" s="71"/>
      <c r="BO45" s="71"/>
      <c r="CD45" s="121"/>
      <c r="CE45" s="121"/>
      <c r="CF45" s="121"/>
      <c r="CG45" s="121"/>
      <c r="CH45" s="121"/>
      <c r="CS45" s="121"/>
    </row>
    <row r="46" spans="1:111">
      <c r="A46" s="124">
        <f>+A45+1</f>
        <v>32</v>
      </c>
      <c r="B46" s="143"/>
      <c r="C46" s="142"/>
      <c r="D46" s="79"/>
      <c r="E46" s="136">
        <f>+E33-E39-E44</f>
        <v>-44829405.429601498</v>
      </c>
      <c r="F46" s="124">
        <f t="shared" si="1"/>
        <v>34</v>
      </c>
      <c r="G46" s="49"/>
      <c r="H46" s="49"/>
      <c r="I46" s="49"/>
      <c r="J46" s="139"/>
      <c r="K46" s="137"/>
      <c r="L46" s="71"/>
      <c r="M46" s="9">
        <f t="shared" si="2"/>
        <v>34</v>
      </c>
      <c r="N46" s="141" t="s">
        <v>165</v>
      </c>
      <c r="O46" s="4"/>
      <c r="P46" s="133"/>
      <c r="Q46" s="140">
        <f>SUM(Q36:Q45)</f>
        <v>-182117177.86000004</v>
      </c>
      <c r="Z46" s="64"/>
      <c r="AA46" s="71"/>
      <c r="AB46" s="71"/>
      <c r="AC46" s="71"/>
      <c r="AD46" s="19"/>
      <c r="AE46" s="19"/>
      <c r="AF46" s="19"/>
      <c r="AG46" s="19"/>
      <c r="AH46" s="19"/>
      <c r="AI46" s="19"/>
      <c r="AX46" s="9"/>
      <c r="AY46" s="123"/>
      <c r="AZ46" s="123"/>
      <c r="BA46" s="123"/>
      <c r="BB46" s="123"/>
      <c r="BL46" s="9"/>
      <c r="BM46" s="71"/>
      <c r="BN46" s="71"/>
      <c r="BO46" s="71"/>
      <c r="CD46" s="121"/>
      <c r="CE46" s="121"/>
      <c r="CF46" s="121"/>
      <c r="CG46" s="121"/>
      <c r="CH46" s="121"/>
      <c r="CS46" s="121"/>
    </row>
    <row r="47" spans="1:111">
      <c r="A47" s="124">
        <f>+A46+1</f>
        <v>33</v>
      </c>
      <c r="B47" s="135"/>
      <c r="D47" s="135"/>
      <c r="E47" s="64"/>
      <c r="F47" s="124">
        <f t="shared" si="1"/>
        <v>35</v>
      </c>
      <c r="G47" s="49" t="s">
        <v>164</v>
      </c>
      <c r="H47" s="49"/>
      <c r="I47" s="49"/>
      <c r="J47" s="139">
        <f>+'EXHIBIT MCC-3r'!P15</f>
        <v>3.8456999999999998E-2</v>
      </c>
      <c r="K47" s="136">
        <f>ROUND(L41*J47,0)</f>
        <v>1277076</v>
      </c>
      <c r="L47" s="71"/>
      <c r="M47" s="9">
        <f t="shared" si="2"/>
        <v>35</v>
      </c>
      <c r="N47" s="4"/>
      <c r="O47" s="4"/>
      <c r="P47" s="71"/>
      <c r="Q47" s="122"/>
      <c r="Z47" s="4"/>
      <c r="AA47" s="122"/>
      <c r="AB47" s="122"/>
      <c r="AC47" s="122"/>
      <c r="AD47" s="71"/>
      <c r="AE47" s="71"/>
      <c r="AF47" s="71"/>
      <c r="AG47" s="71"/>
      <c r="AH47" s="71"/>
      <c r="AI47" s="71"/>
      <c r="AX47" s="9"/>
      <c r="AY47" s="123"/>
      <c r="AZ47" s="123"/>
      <c r="BA47" s="123"/>
      <c r="BB47" s="123"/>
      <c r="BL47" s="9"/>
      <c r="BM47" s="71"/>
      <c r="BN47" s="71"/>
      <c r="BO47" s="71"/>
      <c r="CD47" s="121"/>
      <c r="CE47" s="121"/>
      <c r="CF47" s="121"/>
      <c r="CG47" s="121"/>
      <c r="CH47" s="121"/>
      <c r="CS47" s="121"/>
    </row>
    <row r="48" spans="1:111">
      <c r="A48" s="124">
        <f>+A47+1</f>
        <v>34</v>
      </c>
      <c r="B48" s="135" t="s">
        <v>159</v>
      </c>
      <c r="C48" s="138">
        <v>0.35</v>
      </c>
      <c r="D48" s="64"/>
      <c r="E48" s="122">
        <f>E46*C48</f>
        <v>-15690291.900360523</v>
      </c>
      <c r="F48" s="124">
        <f t="shared" si="1"/>
        <v>36</v>
      </c>
      <c r="G48" s="74" t="s">
        <v>163</v>
      </c>
      <c r="H48" s="49"/>
      <c r="I48" s="49"/>
      <c r="J48" s="3"/>
      <c r="K48" s="137"/>
      <c r="L48" s="136">
        <f>SUM(K47:K47)</f>
        <v>1277076</v>
      </c>
      <c r="M48" s="9">
        <f t="shared" si="2"/>
        <v>36</v>
      </c>
      <c r="N48" s="4" t="s">
        <v>162</v>
      </c>
      <c r="O48" s="4"/>
      <c r="P48" s="71"/>
      <c r="Q48" s="122">
        <f>-Q27-Q33-Q46</f>
        <v>-1539292.7857013047</v>
      </c>
      <c r="Z48" s="4"/>
      <c r="AA48" s="122"/>
      <c r="AB48" s="122"/>
      <c r="AC48" s="122"/>
      <c r="AD48" s="122"/>
      <c r="AE48" s="122"/>
      <c r="AF48" s="122"/>
      <c r="AG48" s="122"/>
      <c r="AH48" s="122"/>
      <c r="AI48" s="122"/>
      <c r="AX48" s="9"/>
      <c r="BL48" s="9"/>
      <c r="BM48" s="71"/>
      <c r="BN48" s="71"/>
      <c r="BO48" s="71"/>
      <c r="CD48" s="121"/>
      <c r="CE48" s="121"/>
      <c r="CF48" s="121"/>
      <c r="CG48" s="121"/>
      <c r="CH48" s="121"/>
      <c r="CS48" s="121"/>
    </row>
    <row r="49" spans="1:120" ht="18" customHeight="1" thickBot="1">
      <c r="A49" s="124">
        <f>+A48+1</f>
        <v>35</v>
      </c>
      <c r="B49" s="135" t="s">
        <v>158</v>
      </c>
      <c r="E49" s="134">
        <f>E46-E48</f>
        <v>-29139113.529240973</v>
      </c>
      <c r="F49" s="124">
        <f t="shared" si="1"/>
        <v>37</v>
      </c>
      <c r="G49" s="49"/>
      <c r="H49" s="49"/>
      <c r="I49" s="49"/>
      <c r="J49" s="3"/>
      <c r="K49" s="3"/>
      <c r="L49" s="71"/>
      <c r="M49" s="9">
        <f t="shared" si="2"/>
        <v>37</v>
      </c>
      <c r="N49" s="4" t="s">
        <v>161</v>
      </c>
      <c r="O49" s="4"/>
      <c r="P49" s="71"/>
      <c r="Q49" s="71">
        <f>Q48*0.35</f>
        <v>-538752.47499545664</v>
      </c>
      <c r="Z49" s="4"/>
      <c r="AA49" s="64"/>
      <c r="AB49" s="64"/>
      <c r="AC49" s="64"/>
      <c r="AD49" s="64"/>
      <c r="AE49" s="64"/>
      <c r="AF49" s="64"/>
      <c r="AG49" s="64"/>
      <c r="AH49" s="64"/>
      <c r="AI49" s="64"/>
      <c r="AX49" s="9"/>
      <c r="BL49" s="9"/>
      <c r="BM49" s="71"/>
      <c r="BN49" s="71"/>
      <c r="BO49" s="71"/>
      <c r="BY49" s="9"/>
      <c r="CD49" s="121"/>
      <c r="CE49" s="121"/>
      <c r="CF49" s="121"/>
      <c r="CG49" s="121"/>
      <c r="CH49" s="121"/>
    </row>
    <row r="50" spans="1:120" ht="14.25" thickTop="1" thickBot="1">
      <c r="A50" s="124"/>
      <c r="B50" s="49"/>
      <c r="F50" s="124">
        <f t="shared" si="1"/>
        <v>38</v>
      </c>
      <c r="G50" s="49" t="s">
        <v>160</v>
      </c>
      <c r="H50" s="49"/>
      <c r="I50" s="49"/>
      <c r="J50" s="3"/>
      <c r="K50" s="79"/>
      <c r="L50" s="71">
        <f>L41-L45-L48</f>
        <v>31626743.659274291</v>
      </c>
      <c r="M50" s="9">
        <f t="shared" si="2"/>
        <v>38</v>
      </c>
      <c r="N50" s="4" t="s">
        <v>158</v>
      </c>
      <c r="O50" s="4"/>
      <c r="P50" s="133"/>
      <c r="Q50" s="132">
        <f>Q48-Q49</f>
        <v>-1000540.310705848</v>
      </c>
      <c r="Z50" s="122"/>
      <c r="AA50" s="4"/>
      <c r="AB50" s="4"/>
      <c r="AC50" s="4"/>
      <c r="AD50" s="4"/>
      <c r="AE50" s="4"/>
      <c r="AF50" s="4"/>
      <c r="AG50" s="4"/>
      <c r="AH50" s="4"/>
      <c r="AI50" s="4"/>
      <c r="AX50" s="9"/>
      <c r="BL50" s="9"/>
      <c r="BM50" s="71"/>
      <c r="BN50" s="71"/>
      <c r="BO50" s="71"/>
      <c r="CD50" s="121"/>
      <c r="CE50" s="121"/>
      <c r="CF50" s="121"/>
      <c r="CG50" s="121"/>
      <c r="CH50" s="121"/>
    </row>
    <row r="51" spans="1:120" ht="13.5" thickTop="1">
      <c r="A51" s="124"/>
      <c r="B51" s="49"/>
      <c r="F51" s="124">
        <f t="shared" si="1"/>
        <v>39</v>
      </c>
      <c r="G51" s="49"/>
      <c r="H51" s="49"/>
      <c r="I51" s="49"/>
      <c r="J51" s="3"/>
      <c r="K51" s="79"/>
      <c r="L51" s="79"/>
      <c r="M51" s="9"/>
      <c r="Q51" s="123"/>
      <c r="Z51" s="122"/>
      <c r="AA51" s="4"/>
      <c r="AB51" s="4"/>
      <c r="AC51" s="4"/>
      <c r="AD51" s="4"/>
      <c r="AE51" s="4"/>
      <c r="AF51" s="4"/>
      <c r="AG51" s="4"/>
      <c r="AH51" s="4"/>
      <c r="AI51" s="4"/>
      <c r="AX51" s="9"/>
      <c r="BL51" s="9"/>
      <c r="BM51" s="71"/>
      <c r="BN51" s="71"/>
      <c r="BO51" s="71"/>
      <c r="CD51" s="121"/>
      <c r="CE51" s="121"/>
      <c r="CF51" s="121"/>
      <c r="CG51" s="121"/>
      <c r="CH51" s="121"/>
    </row>
    <row r="52" spans="1:120">
      <c r="A52" s="124"/>
      <c r="F52" s="124">
        <f t="shared" si="1"/>
        <v>40</v>
      </c>
      <c r="G52" s="49" t="s">
        <v>159</v>
      </c>
      <c r="H52" s="49"/>
      <c r="I52" s="49"/>
      <c r="J52" s="131">
        <f>k_FITrate</f>
        <v>0.35</v>
      </c>
      <c r="K52" s="79"/>
      <c r="L52" s="122">
        <f>ROUND(L50*J52,0)</f>
        <v>11069360</v>
      </c>
      <c r="Q52" s="123"/>
      <c r="Z52" s="4"/>
      <c r="AA52" s="4"/>
      <c r="AB52" s="4"/>
      <c r="AC52" s="4"/>
      <c r="AD52" s="4"/>
      <c r="AE52" s="4"/>
      <c r="AF52" s="4"/>
      <c r="AG52" s="4"/>
      <c r="AH52" s="4"/>
      <c r="AI52" s="4"/>
      <c r="AX52" s="9"/>
      <c r="BL52" s="9"/>
      <c r="BM52" s="71"/>
      <c r="BN52" s="71"/>
      <c r="BO52" s="71"/>
      <c r="CD52" s="121"/>
      <c r="CE52" s="121"/>
      <c r="CF52" s="121"/>
      <c r="CG52" s="121"/>
      <c r="CH52" s="121"/>
    </row>
    <row r="53" spans="1:120" ht="13.5" thickBot="1">
      <c r="A53" s="124"/>
      <c r="F53" s="124">
        <f t="shared" si="1"/>
        <v>41</v>
      </c>
      <c r="G53" s="49" t="s">
        <v>158</v>
      </c>
      <c r="H53" s="49"/>
      <c r="I53" s="49"/>
      <c r="J53" s="3"/>
      <c r="K53" s="79"/>
      <c r="L53" s="130">
        <f>L50-L52</f>
        <v>20557383.659274291</v>
      </c>
      <c r="Q53" s="123"/>
      <c r="Z53" s="64"/>
      <c r="AA53" s="122"/>
      <c r="AB53" s="122"/>
      <c r="AC53" s="122"/>
      <c r="AD53" s="122"/>
      <c r="AE53" s="122"/>
      <c r="AF53" s="122"/>
      <c r="AG53" s="122"/>
      <c r="AH53" s="122"/>
      <c r="AI53" s="122"/>
      <c r="AX53" s="9"/>
      <c r="BL53" s="71"/>
      <c r="BM53" s="71"/>
      <c r="BN53" s="71"/>
      <c r="BO53" s="71"/>
      <c r="CD53" s="121"/>
      <c r="CE53" s="121"/>
      <c r="CF53" s="121"/>
      <c r="CG53" s="121"/>
      <c r="CH53" s="121"/>
      <c r="CT53" s="125"/>
      <c r="CU53" s="125"/>
      <c r="CV53" s="125"/>
      <c r="CW53" s="125">
        <v>-924675.04937016219</v>
      </c>
    </row>
    <row r="54" spans="1:120" ht="13.5" thickTop="1">
      <c r="A54" s="124"/>
      <c r="F54" s="124"/>
      <c r="G54" s="3"/>
      <c r="H54" s="3"/>
      <c r="I54" s="3"/>
      <c r="J54" s="3"/>
      <c r="K54" s="3"/>
      <c r="L54" s="3"/>
      <c r="Q54" s="123"/>
      <c r="Z54" s="4"/>
      <c r="AA54" s="122"/>
      <c r="AB54" s="122"/>
      <c r="AC54" s="122"/>
      <c r="AD54" s="122"/>
      <c r="AE54" s="122"/>
      <c r="AF54" s="122"/>
      <c r="AG54" s="122"/>
      <c r="AH54" s="122"/>
      <c r="AI54" s="122"/>
      <c r="AX54" s="9"/>
      <c r="BL54" s="129"/>
      <c r="BM54" s="71"/>
      <c r="BN54" s="71"/>
      <c r="BO54" s="71"/>
      <c r="CD54" s="121"/>
      <c r="CE54" s="121"/>
      <c r="CF54" s="121"/>
      <c r="CG54" s="121"/>
      <c r="CH54" s="121"/>
      <c r="CT54" s="121"/>
      <c r="CU54" s="121"/>
      <c r="CV54" s="121"/>
      <c r="CW54" s="121"/>
    </row>
    <row r="55" spans="1:120">
      <c r="A55" s="129"/>
      <c r="D55" s="127"/>
      <c r="F55" s="124"/>
      <c r="L55" s="128"/>
      <c r="Q55" s="123"/>
      <c r="AA55" s="4"/>
      <c r="AB55" s="4"/>
      <c r="AC55" s="4"/>
      <c r="AD55" s="4"/>
      <c r="AE55" s="4"/>
      <c r="AF55" s="4"/>
      <c r="AG55" s="4"/>
      <c r="AH55" s="4"/>
      <c r="AI55" s="4"/>
      <c r="AX55" s="9"/>
      <c r="BL55" s="71"/>
      <c r="CD55" s="121"/>
      <c r="CE55" s="121"/>
      <c r="CF55" s="121"/>
      <c r="CG55" s="121"/>
      <c r="CH55" s="121"/>
      <c r="CT55" s="125"/>
      <c r="CU55" s="125"/>
      <c r="CV55" s="125"/>
      <c r="CW55" s="125">
        <f>CW22-CW53</f>
        <v>371888.46737016214</v>
      </c>
    </row>
    <row r="56" spans="1:120">
      <c r="F56" s="124"/>
      <c r="Q56" s="123"/>
      <c r="AA56" s="64"/>
      <c r="AB56" s="64"/>
      <c r="AC56" s="64"/>
      <c r="AD56" s="64"/>
      <c r="AE56" s="64"/>
      <c r="AF56" s="64"/>
      <c r="AG56" s="64"/>
      <c r="AH56" s="64"/>
      <c r="AI56" s="64"/>
      <c r="AX56" s="9"/>
      <c r="BL56" s="71"/>
      <c r="CD56" s="121"/>
      <c r="CE56" s="121"/>
      <c r="CF56" s="121"/>
      <c r="CG56" s="121"/>
      <c r="CH56" s="127"/>
    </row>
    <row r="57" spans="1:120" outlineLevel="1">
      <c r="A57" s="124">
        <v>45</v>
      </c>
      <c r="B57" s="126" t="s">
        <v>157</v>
      </c>
      <c r="E57" s="125">
        <v>-29139113.529240973</v>
      </c>
      <c r="F57" s="124"/>
      <c r="G57" s="3"/>
      <c r="H57" s="3"/>
      <c r="I57" s="3"/>
      <c r="J57" s="3"/>
      <c r="K57" s="19"/>
      <c r="L57" s="125">
        <v>17527344</v>
      </c>
      <c r="M57" s="125"/>
      <c r="N57" s="125"/>
      <c r="O57" s="125"/>
      <c r="P57" s="125"/>
      <c r="Q57" s="125">
        <v>-1000540.310705848</v>
      </c>
      <c r="R57" s="125"/>
      <c r="S57" s="125"/>
      <c r="T57" s="125"/>
      <c r="U57" s="125">
        <v>-27023238.806572676</v>
      </c>
      <c r="V57" s="125"/>
      <c r="W57" s="125"/>
      <c r="X57" s="125"/>
      <c r="Y57" s="125">
        <v>53347930.4173996</v>
      </c>
      <c r="Z57" s="125"/>
      <c r="AA57" s="125"/>
      <c r="AB57" s="125"/>
      <c r="AC57" s="125"/>
      <c r="AD57" s="125">
        <v>-34610611.020140424</v>
      </c>
      <c r="AE57" s="125"/>
      <c r="AF57" s="125"/>
      <c r="AG57" s="125"/>
      <c r="AH57" s="125"/>
      <c r="AI57" s="125"/>
      <c r="AJ57" s="125"/>
      <c r="AK57" s="125"/>
      <c r="AL57" s="125"/>
      <c r="AM57" s="125"/>
      <c r="AN57" s="125">
        <v>69387.278670666696</v>
      </c>
      <c r="AO57" s="125"/>
      <c r="AP57" s="125"/>
      <c r="AQ57" s="125"/>
      <c r="AR57" s="125"/>
      <c r="AS57" s="125"/>
      <c r="AT57" s="125"/>
      <c r="AU57" s="125"/>
      <c r="AV57" s="125"/>
      <c r="AW57" s="125">
        <v>681065</v>
      </c>
      <c r="AX57" s="125"/>
      <c r="AY57" s="125"/>
      <c r="AZ57" s="125"/>
      <c r="BA57" s="125"/>
      <c r="BB57" s="125">
        <v>-109903.18925372683</v>
      </c>
      <c r="BC57" s="125"/>
      <c r="BD57" s="125"/>
      <c r="BE57" s="125"/>
      <c r="BF57" s="125"/>
      <c r="BG57" s="125">
        <v>16141.122864383684</v>
      </c>
      <c r="BH57" s="125"/>
      <c r="BI57" s="125"/>
      <c r="BJ57" s="125"/>
      <c r="BK57" s="125">
        <v>-176605.63064400846</v>
      </c>
      <c r="BL57" s="125"/>
      <c r="BM57" s="125"/>
      <c r="BN57" s="125"/>
      <c r="BO57" s="125">
        <v>-264904.5667814</v>
      </c>
      <c r="BP57" s="125"/>
      <c r="BQ57" s="125"/>
      <c r="BR57" s="125"/>
      <c r="BS57" s="125">
        <v>171199.77983333383</v>
      </c>
      <c r="BT57" s="125"/>
      <c r="BU57" s="125"/>
      <c r="BV57" s="125"/>
      <c r="BW57" s="125"/>
      <c r="BX57" s="125">
        <v>66147.120545911268</v>
      </c>
      <c r="BY57" s="125"/>
      <c r="BZ57" s="125"/>
      <c r="CA57" s="125"/>
      <c r="CB57" s="125"/>
      <c r="CC57" s="125">
        <v>-1184945.4451730854</v>
      </c>
      <c r="CD57" s="125"/>
      <c r="CE57" s="125"/>
      <c r="CF57" s="125"/>
      <c r="CG57" s="125"/>
      <c r="CH57" s="125">
        <v>-1357715.5890578774</v>
      </c>
      <c r="CI57" s="125"/>
      <c r="CJ57" s="125"/>
      <c r="CK57" s="125"/>
      <c r="CL57" s="125"/>
      <c r="CM57" s="125">
        <v>-96704.676397892646</v>
      </c>
      <c r="CN57" s="125"/>
      <c r="CO57" s="125"/>
      <c r="CP57" s="125"/>
      <c r="CQ57" s="125"/>
      <c r="CR57" s="125">
        <v>-121750.92923393101</v>
      </c>
      <c r="CS57" s="125"/>
      <c r="CW57" s="125">
        <v>0</v>
      </c>
      <c r="CX57" s="125"/>
      <c r="CY57" s="125"/>
      <c r="CZ57" s="125"/>
      <c r="DA57" s="125"/>
      <c r="DB57" s="125">
        <v>-3087501.2730555004</v>
      </c>
      <c r="DC57" s="125"/>
      <c r="DD57" s="125"/>
      <c r="DE57" s="125"/>
      <c r="DF57" s="125"/>
      <c r="DG57" s="125">
        <v>434046.43987045588</v>
      </c>
      <c r="DH57" s="125"/>
      <c r="DI57" s="125"/>
      <c r="DJ57" s="125"/>
      <c r="DK57" s="125"/>
      <c r="DL57" s="125">
        <v>10262.31709798798</v>
      </c>
      <c r="DM57" s="125"/>
      <c r="DN57" s="125"/>
      <c r="DO57" s="125"/>
      <c r="DP57" s="125"/>
    </row>
    <row r="58" spans="1:120" outlineLevel="1">
      <c r="A58" s="124">
        <v>46</v>
      </c>
      <c r="C58" s="127"/>
      <c r="Z58" s="121"/>
      <c r="AA58" s="121"/>
      <c r="AB58" s="121"/>
      <c r="AC58" s="121"/>
      <c r="AD58" s="121"/>
      <c r="AE58" s="121"/>
      <c r="AF58" s="121"/>
      <c r="AG58" s="121"/>
      <c r="AH58" s="121"/>
      <c r="AI58" s="121"/>
      <c r="AX58" s="121"/>
      <c r="BH58" s="121"/>
      <c r="BI58" s="121"/>
      <c r="BJ58" s="121"/>
      <c r="BK58" s="121"/>
      <c r="BL58" s="121"/>
      <c r="BM58" s="121"/>
      <c r="BN58" s="121"/>
      <c r="BO58" s="121"/>
      <c r="BP58" s="121"/>
      <c r="BQ58" s="121"/>
      <c r="BR58" s="121"/>
      <c r="BS58" s="121"/>
      <c r="BT58" s="121"/>
      <c r="BU58" s="121"/>
      <c r="BV58" s="121"/>
      <c r="BW58" s="121"/>
      <c r="BX58" s="121"/>
      <c r="BY58" s="121"/>
      <c r="BZ58" s="121"/>
      <c r="CA58" s="121"/>
      <c r="CB58" s="121"/>
      <c r="CC58" s="121"/>
      <c r="CD58" s="121"/>
      <c r="CE58" s="121"/>
      <c r="CF58" s="121"/>
      <c r="CG58" s="121"/>
      <c r="CH58" s="121"/>
      <c r="CI58" s="121"/>
      <c r="CJ58" s="121"/>
      <c r="CK58" s="121"/>
      <c r="CL58" s="121"/>
      <c r="CM58" s="121"/>
      <c r="CN58" s="121"/>
      <c r="CO58" s="121"/>
      <c r="CP58" s="121"/>
      <c r="CQ58" s="121"/>
      <c r="CR58" s="121"/>
      <c r="CS58" s="121"/>
      <c r="CW58" s="121"/>
    </row>
    <row r="59" spans="1:120" outlineLevel="1">
      <c r="A59" s="124">
        <v>47</v>
      </c>
      <c r="B59" s="126" t="s">
        <v>0</v>
      </c>
      <c r="E59" s="125">
        <f>E49-E57</f>
        <v>0</v>
      </c>
      <c r="L59" s="125">
        <f>L53-L57</f>
        <v>3030039.6592742912</v>
      </c>
      <c r="M59" s="125"/>
      <c r="N59" s="125"/>
      <c r="O59" s="125"/>
      <c r="P59" s="125"/>
      <c r="Q59" s="125">
        <f>Q50-Q57</f>
        <v>0</v>
      </c>
      <c r="R59" s="125"/>
      <c r="S59" s="125"/>
      <c r="T59" s="125"/>
      <c r="U59" s="125">
        <f>U32-U57</f>
        <v>0</v>
      </c>
      <c r="V59" s="125"/>
      <c r="W59" s="125"/>
      <c r="X59" s="125"/>
      <c r="Y59" s="125">
        <f>Y23-Y57</f>
        <v>-940976.40740459412</v>
      </c>
      <c r="Z59" s="125"/>
      <c r="AA59" s="125"/>
      <c r="AB59" s="125"/>
      <c r="AC59" s="125"/>
      <c r="AD59" s="125">
        <f>AD35-AD57</f>
        <v>13284876.992391784</v>
      </c>
      <c r="AE59" s="125"/>
      <c r="AF59" s="125"/>
      <c r="AG59" s="125"/>
      <c r="AH59" s="125"/>
      <c r="AI59" s="125"/>
      <c r="AJ59" s="125"/>
      <c r="AK59" s="125"/>
      <c r="AL59" s="125"/>
      <c r="AM59" s="125"/>
      <c r="AN59" s="125">
        <f>AN20-AN57</f>
        <v>0</v>
      </c>
      <c r="AO59" s="125"/>
      <c r="AP59" s="125"/>
      <c r="AQ59" s="125"/>
      <c r="AR59" s="125"/>
      <c r="AS59" s="125"/>
      <c r="AT59" s="125"/>
      <c r="AU59" s="125"/>
      <c r="AV59" s="125"/>
      <c r="AW59" s="125">
        <f>AW29-AW57</f>
        <v>0</v>
      </c>
      <c r="AX59" s="125"/>
      <c r="AY59" s="125"/>
      <c r="AZ59" s="125"/>
      <c r="BA59" s="125"/>
      <c r="BB59" s="125">
        <f>BB30-BB57</f>
        <v>0</v>
      </c>
      <c r="BC59" s="125"/>
      <c r="BD59" s="125"/>
      <c r="BE59" s="125"/>
      <c r="BF59" s="125"/>
      <c r="BG59" s="125">
        <f>BG19-BG57</f>
        <v>0</v>
      </c>
      <c r="BH59" s="125"/>
      <c r="BI59" s="125"/>
      <c r="BJ59" s="125"/>
      <c r="BK59" s="125">
        <f>BK15-BK57</f>
        <v>0</v>
      </c>
      <c r="BL59" s="125"/>
      <c r="BM59" s="125"/>
      <c r="BN59" s="125"/>
      <c r="BO59" s="125">
        <f>BO31-BO57</f>
        <v>264904.5667814</v>
      </c>
      <c r="BP59" s="125"/>
      <c r="BQ59" s="125"/>
      <c r="BR59" s="125"/>
      <c r="BS59" s="125">
        <f>BS31-BS57</f>
        <v>0</v>
      </c>
      <c r="BT59" s="125"/>
      <c r="BU59" s="125"/>
      <c r="BV59" s="125"/>
      <c r="BW59" s="125"/>
      <c r="BX59" s="125">
        <f>BX20-BX57</f>
        <v>0</v>
      </c>
      <c r="BY59" s="125"/>
      <c r="BZ59" s="125"/>
      <c r="CA59" s="125"/>
      <c r="CB59" s="125"/>
      <c r="CC59" s="125">
        <f>CC18-CC57</f>
        <v>0</v>
      </c>
      <c r="CD59" s="125"/>
      <c r="CE59" s="125"/>
      <c r="CF59" s="125"/>
      <c r="CG59" s="125"/>
      <c r="CH59" s="125">
        <f>CH29-CH57</f>
        <v>0</v>
      </c>
      <c r="CI59" s="125"/>
      <c r="CJ59" s="125"/>
      <c r="CK59" s="125"/>
      <c r="CL59" s="125"/>
      <c r="CM59" s="125">
        <f>CM35-CM57</f>
        <v>0</v>
      </c>
      <c r="CN59" s="125"/>
      <c r="CO59" s="125"/>
      <c r="CP59" s="125"/>
      <c r="CQ59" s="125"/>
      <c r="CR59" s="125">
        <f>CR24-CR57</f>
        <v>0</v>
      </c>
      <c r="CS59" s="125"/>
      <c r="CW59" s="125">
        <v>0</v>
      </c>
      <c r="CX59" s="125"/>
      <c r="CY59" s="125"/>
      <c r="CZ59" s="125"/>
      <c r="DA59" s="125"/>
      <c r="DB59" s="125">
        <f>DB27-DB57</f>
        <v>1077280.1159967619</v>
      </c>
      <c r="DC59" s="125"/>
      <c r="DD59" s="125"/>
      <c r="DE59" s="125"/>
      <c r="DF59" s="125"/>
      <c r="DG59" s="125">
        <f>DG34-DG57</f>
        <v>0</v>
      </c>
      <c r="DH59" s="125"/>
      <c r="DI59" s="125"/>
      <c r="DJ59" s="125"/>
      <c r="DK59" s="125"/>
      <c r="DL59" s="125">
        <f>DL19-DL57</f>
        <v>0</v>
      </c>
      <c r="DM59" s="125"/>
      <c r="DN59" s="125"/>
      <c r="DO59" s="125"/>
      <c r="DP59" s="125"/>
    </row>
    <row r="60" spans="1:120" outlineLevel="1">
      <c r="A60" s="124">
        <v>48</v>
      </c>
      <c r="Q60" s="123"/>
      <c r="AX60" s="9"/>
      <c r="BL60" s="71"/>
    </row>
    <row r="61" spans="1:120" outlineLevel="1">
      <c r="A61" s="124">
        <v>49</v>
      </c>
      <c r="B61" s="126" t="s">
        <v>156</v>
      </c>
      <c r="E61" s="125">
        <v>0</v>
      </c>
      <c r="L61" s="125">
        <v>0</v>
      </c>
      <c r="Q61" s="125">
        <v>0</v>
      </c>
      <c r="U61" s="125">
        <v>0</v>
      </c>
      <c r="Y61" s="125">
        <v>0</v>
      </c>
      <c r="AD61" s="125">
        <v>-17305305.510070201</v>
      </c>
      <c r="AE61" s="125"/>
      <c r="AF61" s="125"/>
      <c r="AG61" s="125"/>
      <c r="AH61" s="125"/>
      <c r="AI61" s="125"/>
      <c r="AN61" s="125">
        <v>0</v>
      </c>
      <c r="AW61" s="125">
        <v>0</v>
      </c>
      <c r="AX61" s="9"/>
      <c r="BB61" s="125">
        <v>0</v>
      </c>
      <c r="BG61" s="125">
        <v>0</v>
      </c>
      <c r="BK61" s="125">
        <v>0</v>
      </c>
      <c r="BL61" s="71"/>
      <c r="BO61" s="125">
        <v>0</v>
      </c>
      <c r="BS61" s="125">
        <v>0</v>
      </c>
      <c r="BT61" s="78"/>
      <c r="BX61" s="125">
        <v>0</v>
      </c>
      <c r="CC61" s="125">
        <v>0</v>
      </c>
      <c r="CH61" s="125">
        <v>0</v>
      </c>
      <c r="CM61" s="125">
        <v>0</v>
      </c>
      <c r="CR61" s="125">
        <v>0</v>
      </c>
      <c r="DB61" s="125">
        <v>0</v>
      </c>
      <c r="DG61" s="125">
        <v>15915060.097866783</v>
      </c>
      <c r="DL61" s="125">
        <v>0</v>
      </c>
    </row>
    <row r="62" spans="1:120" outlineLevel="1">
      <c r="A62" s="124">
        <v>50</v>
      </c>
      <c r="B62" s="123"/>
      <c r="AD62" s="121"/>
      <c r="AE62" s="121"/>
      <c r="AF62" s="121"/>
      <c r="AG62" s="121"/>
      <c r="AH62" s="121"/>
      <c r="AI62" s="121"/>
      <c r="AX62" s="9"/>
      <c r="BK62" s="121"/>
      <c r="BL62" s="71"/>
      <c r="BO62" s="121"/>
      <c r="BS62" s="121"/>
      <c r="BX62" s="121"/>
      <c r="CC62" s="121"/>
      <c r="CH62" s="121"/>
      <c r="CM62" s="121"/>
      <c r="CR62" s="121"/>
    </row>
    <row r="63" spans="1:120" outlineLevel="1">
      <c r="A63" s="124">
        <v>51</v>
      </c>
      <c r="B63" s="126" t="s">
        <v>0</v>
      </c>
      <c r="E63" s="125">
        <v>0</v>
      </c>
      <c r="L63" s="125">
        <v>0</v>
      </c>
      <c r="Q63" s="125">
        <v>0</v>
      </c>
      <c r="U63" s="125">
        <v>0</v>
      </c>
      <c r="Y63" s="125">
        <v>0</v>
      </c>
      <c r="AD63" s="125">
        <f>AD42-AD61</f>
        <v>6642438.49619589</v>
      </c>
      <c r="AE63" s="125"/>
      <c r="AF63" s="125"/>
      <c r="AG63" s="125"/>
      <c r="AH63" s="125"/>
      <c r="AI63" s="125"/>
      <c r="AN63" s="125">
        <v>0</v>
      </c>
      <c r="AW63" s="125">
        <v>0</v>
      </c>
      <c r="AX63" s="9"/>
      <c r="BB63" s="125">
        <v>0</v>
      </c>
      <c r="BG63" s="125">
        <v>0</v>
      </c>
      <c r="BK63" s="125">
        <v>0</v>
      </c>
      <c r="BL63" s="71"/>
      <c r="BO63" s="125">
        <v>0</v>
      </c>
      <c r="BS63" s="125">
        <v>0</v>
      </c>
      <c r="BX63" s="125">
        <v>0</v>
      </c>
      <c r="CC63" s="125">
        <v>0</v>
      </c>
      <c r="CH63" s="125">
        <v>0</v>
      </c>
      <c r="CM63" s="125">
        <v>0</v>
      </c>
      <c r="CR63" s="125">
        <v>0</v>
      </c>
      <c r="DB63" s="125">
        <v>0</v>
      </c>
      <c r="DG63" s="125">
        <f>DG22-DG61</f>
        <v>0</v>
      </c>
      <c r="DL63" s="125">
        <v>0</v>
      </c>
    </row>
    <row r="64" spans="1:120">
      <c r="A64" s="124"/>
      <c r="AX64" s="9"/>
      <c r="BL64" s="71"/>
    </row>
    <row r="65" spans="26:64">
      <c r="AX65" s="9"/>
      <c r="BL65" s="71"/>
    </row>
    <row r="66" spans="26:64">
      <c r="AX66" s="9"/>
      <c r="BL66" s="71"/>
    </row>
    <row r="69" spans="26:64">
      <c r="Z69" s="123"/>
    </row>
    <row r="70" spans="26:64">
      <c r="Z70" s="123"/>
      <c r="AX70" s="9"/>
    </row>
    <row r="71" spans="26:64">
      <c r="Z71" s="123"/>
      <c r="AX71" s="9"/>
    </row>
    <row r="72" spans="26:64">
      <c r="Z72" s="123"/>
      <c r="AA72" s="123"/>
      <c r="AB72" s="123"/>
      <c r="AC72" s="123"/>
      <c r="AD72" s="123"/>
      <c r="AE72" s="123"/>
      <c r="AF72" s="123"/>
      <c r="AG72" s="123"/>
      <c r="AH72" s="123"/>
      <c r="AI72" s="123"/>
      <c r="AX72" s="9"/>
    </row>
    <row r="73" spans="26:64">
      <c r="AX73" s="9"/>
    </row>
    <row r="76" spans="26:64">
      <c r="Z76" s="123"/>
      <c r="AA76" s="123"/>
      <c r="AB76" s="123"/>
      <c r="AC76" s="123"/>
      <c r="AD76" s="123"/>
      <c r="AE76" s="123"/>
      <c r="AF76" s="123"/>
      <c r="AG76" s="123"/>
      <c r="AH76" s="123"/>
      <c r="AI76" s="123"/>
    </row>
    <row r="77" spans="26:64">
      <c r="Z77" s="122"/>
      <c r="AA77" s="64"/>
      <c r="AB77" s="64"/>
      <c r="AC77" s="64"/>
      <c r="AD77" s="64"/>
      <c r="AE77" s="64"/>
      <c r="AF77" s="64"/>
      <c r="AG77" s="64"/>
      <c r="AH77" s="64"/>
      <c r="AI77" s="64"/>
    </row>
    <row r="78" spans="26:64">
      <c r="Z78" s="122"/>
    </row>
    <row r="79" spans="26:64">
      <c r="Z79" s="64"/>
      <c r="AA79" s="71"/>
      <c r="AB79" s="71"/>
      <c r="AC79" s="71"/>
      <c r="AD79" s="19"/>
      <c r="AE79" s="19"/>
      <c r="AF79" s="19"/>
      <c r="AG79" s="19"/>
      <c r="AH79" s="19"/>
      <c r="AI79" s="19"/>
      <c r="AY79" s="3"/>
      <c r="AZ79" s="3"/>
      <c r="BA79" s="3"/>
      <c r="BB79" s="3"/>
    </row>
    <row r="80" spans="26:64">
      <c r="Z80" s="4"/>
      <c r="AA80" s="122"/>
      <c r="AB80" s="122"/>
      <c r="AC80" s="122"/>
      <c r="AD80" s="122"/>
      <c r="AE80" s="122"/>
      <c r="AF80" s="122"/>
      <c r="AG80" s="122"/>
      <c r="AH80" s="122"/>
      <c r="AI80" s="122"/>
      <c r="AY80" s="3"/>
      <c r="AZ80" s="3"/>
      <c r="BA80" s="3"/>
      <c r="BB80" s="3"/>
    </row>
    <row r="81" spans="26:54">
      <c r="Z81" s="4"/>
      <c r="AA81" s="122"/>
      <c r="AB81" s="122"/>
      <c r="AC81" s="122"/>
      <c r="AD81" s="122"/>
      <c r="AE81" s="122"/>
      <c r="AF81" s="122"/>
      <c r="AG81" s="122"/>
      <c r="AH81" s="122"/>
      <c r="AI81" s="122"/>
      <c r="AY81" s="3"/>
      <c r="AZ81" s="3"/>
      <c r="BA81" s="3"/>
      <c r="BB81" s="3"/>
    </row>
    <row r="82" spans="26:54">
      <c r="Z82" s="4"/>
      <c r="AA82" s="64"/>
      <c r="AB82" s="122"/>
      <c r="AC82" s="122"/>
      <c r="AD82" s="122"/>
      <c r="AE82" s="122"/>
      <c r="AF82" s="122"/>
      <c r="AG82" s="122"/>
      <c r="AH82" s="122"/>
      <c r="AI82" s="122"/>
    </row>
    <row r="83" spans="26:54">
      <c r="Z83" s="122"/>
      <c r="AA83" s="4"/>
      <c r="AB83" s="122"/>
      <c r="AC83" s="122"/>
      <c r="AD83" s="122"/>
      <c r="AE83" s="122"/>
      <c r="AF83" s="122"/>
      <c r="AG83" s="122"/>
      <c r="AH83" s="122"/>
      <c r="AI83" s="122"/>
    </row>
    <row r="84" spans="26:54">
      <c r="Z84" s="122"/>
      <c r="AA84" s="4"/>
      <c r="AB84" s="122"/>
      <c r="AC84" s="122"/>
      <c r="AD84" s="122"/>
      <c r="AE84" s="122"/>
      <c r="AF84" s="122"/>
      <c r="AG84" s="122"/>
      <c r="AH84" s="122"/>
      <c r="AI84" s="122"/>
    </row>
    <row r="85" spans="26:54">
      <c r="Z85" s="4"/>
      <c r="AA85" s="4"/>
      <c r="AB85" s="122"/>
      <c r="AC85" s="122"/>
      <c r="AD85" s="122"/>
      <c r="AE85" s="122"/>
      <c r="AF85" s="122"/>
      <c r="AG85" s="122"/>
      <c r="AH85" s="122"/>
      <c r="AI85" s="122"/>
    </row>
    <row r="86" spans="26:54">
      <c r="Z86" s="64"/>
      <c r="AA86" s="122"/>
      <c r="AB86" s="122"/>
      <c r="AC86" s="122"/>
      <c r="AD86" s="122"/>
      <c r="AE86" s="122"/>
      <c r="AF86" s="122"/>
      <c r="AG86" s="122"/>
      <c r="AH86" s="122"/>
      <c r="AI86" s="122"/>
    </row>
    <row r="87" spans="26:54">
      <c r="Z87" s="4"/>
      <c r="AA87" s="122"/>
      <c r="AB87" s="122"/>
      <c r="AC87" s="122"/>
      <c r="AD87" s="122"/>
      <c r="AE87" s="122"/>
      <c r="AF87" s="122"/>
      <c r="AG87" s="122"/>
      <c r="AH87" s="122"/>
      <c r="AI87" s="122"/>
    </row>
    <row r="88" spans="26:54">
      <c r="AA88" s="4"/>
      <c r="AB88" s="122"/>
      <c r="AC88" s="122"/>
      <c r="AD88" s="122"/>
      <c r="AE88" s="122"/>
      <c r="AF88" s="122"/>
      <c r="AG88" s="122"/>
      <c r="AH88" s="122"/>
      <c r="AI88" s="122"/>
    </row>
    <row r="89" spans="26:54">
      <c r="AA89" s="64"/>
      <c r="AB89" s="122"/>
      <c r="AC89" s="122"/>
      <c r="AD89" s="122"/>
      <c r="AE89" s="122"/>
      <c r="AF89" s="122"/>
      <c r="AG89" s="122"/>
      <c r="AH89" s="122"/>
      <c r="AI89" s="122"/>
    </row>
    <row r="90" spans="26:54">
      <c r="AA90" s="4"/>
      <c r="AB90" s="122"/>
      <c r="AC90" s="122"/>
      <c r="AD90" s="122"/>
      <c r="AE90" s="122"/>
      <c r="AF90" s="122"/>
      <c r="AG90" s="122"/>
      <c r="AH90" s="122"/>
      <c r="AI90" s="122"/>
    </row>
    <row r="91" spans="26:54">
      <c r="AB91" s="122"/>
      <c r="AC91" s="122"/>
      <c r="AD91" s="122"/>
      <c r="AE91" s="122"/>
      <c r="AF91" s="122"/>
      <c r="AG91" s="122"/>
      <c r="AH91" s="122"/>
      <c r="AI91" s="122"/>
    </row>
    <row r="92" spans="26:54">
      <c r="AB92" s="122"/>
      <c r="AC92" s="122"/>
      <c r="AD92" s="122"/>
      <c r="AE92" s="122"/>
      <c r="AF92" s="122"/>
      <c r="AG92" s="122"/>
      <c r="AH92" s="122"/>
      <c r="AI92" s="122"/>
    </row>
    <row r="93" spans="26:54">
      <c r="AB93" s="122"/>
      <c r="AC93" s="122"/>
      <c r="AD93" s="122"/>
      <c r="AE93" s="122"/>
      <c r="AF93" s="122"/>
      <c r="AG93" s="122"/>
      <c r="AH93" s="122"/>
      <c r="AI93" s="122"/>
    </row>
    <row r="94" spans="26:54">
      <c r="AB94" s="122"/>
      <c r="AC94" s="122"/>
      <c r="AD94" s="122"/>
      <c r="AE94" s="122"/>
      <c r="AF94" s="122"/>
      <c r="AG94" s="122"/>
      <c r="AH94" s="122"/>
      <c r="AI94" s="122"/>
    </row>
    <row r="95" spans="26:54">
      <c r="AB95" s="122"/>
      <c r="AC95" s="122"/>
      <c r="AD95" s="122"/>
      <c r="AE95" s="122"/>
      <c r="AF95" s="122"/>
      <c r="AG95" s="122"/>
      <c r="AH95" s="122"/>
      <c r="AI95" s="122"/>
    </row>
    <row r="96" spans="26:54">
      <c r="AB96" s="122"/>
      <c r="AC96" s="122"/>
      <c r="AD96" s="122"/>
      <c r="AE96" s="122"/>
      <c r="AF96" s="122"/>
      <c r="AG96" s="122"/>
      <c r="AH96" s="122"/>
      <c r="AI96" s="122"/>
    </row>
    <row r="97" spans="26:35">
      <c r="AB97" s="122"/>
      <c r="AC97" s="122"/>
      <c r="AD97" s="122"/>
      <c r="AE97" s="122"/>
      <c r="AF97" s="122"/>
      <c r="AG97" s="122"/>
      <c r="AH97" s="122"/>
      <c r="AI97" s="122"/>
    </row>
    <row r="98" spans="26:35">
      <c r="AB98" s="122"/>
      <c r="AC98" s="122"/>
      <c r="AD98" s="122"/>
      <c r="AE98" s="122"/>
      <c r="AF98" s="122"/>
      <c r="AG98" s="122"/>
      <c r="AH98" s="122"/>
      <c r="AI98" s="122"/>
    </row>
    <row r="99" spans="26:35">
      <c r="AB99" s="122"/>
      <c r="AC99" s="122"/>
      <c r="AD99" s="122"/>
      <c r="AE99" s="122"/>
      <c r="AF99" s="122"/>
      <c r="AG99" s="122"/>
      <c r="AH99" s="122"/>
      <c r="AI99" s="122"/>
    </row>
    <row r="100" spans="26:35">
      <c r="AB100" s="122"/>
      <c r="AC100" s="122"/>
      <c r="AD100" s="122"/>
      <c r="AE100" s="122"/>
      <c r="AF100" s="122"/>
      <c r="AG100" s="122"/>
      <c r="AH100" s="122"/>
      <c r="AI100" s="122"/>
    </row>
    <row r="101" spans="26:35">
      <c r="AB101" s="122"/>
      <c r="AC101" s="122"/>
      <c r="AD101" s="122"/>
      <c r="AE101" s="122"/>
      <c r="AF101" s="122"/>
      <c r="AG101" s="122"/>
      <c r="AH101" s="122"/>
      <c r="AI101" s="122"/>
    </row>
    <row r="102" spans="26:35">
      <c r="Z102" s="123"/>
      <c r="AB102" s="122"/>
      <c r="AC102" s="122"/>
      <c r="AD102" s="122"/>
      <c r="AE102" s="122"/>
      <c r="AF102" s="122"/>
      <c r="AG102" s="122"/>
      <c r="AH102" s="122"/>
      <c r="AI102" s="122"/>
    </row>
    <row r="103" spans="26:35">
      <c r="Z103" s="123"/>
      <c r="AB103" s="122"/>
      <c r="AC103" s="122"/>
      <c r="AD103" s="122"/>
      <c r="AE103" s="122"/>
      <c r="AF103" s="122"/>
      <c r="AG103" s="122"/>
      <c r="AH103" s="122"/>
      <c r="AI103" s="122"/>
    </row>
    <row r="104" spans="26:35">
      <c r="Z104" s="123"/>
      <c r="AB104" s="122"/>
      <c r="AC104" s="122"/>
      <c r="AD104" s="122"/>
      <c r="AE104" s="122"/>
      <c r="AF104" s="122"/>
      <c r="AG104" s="122"/>
      <c r="AH104" s="122"/>
      <c r="AI104" s="122"/>
    </row>
    <row r="105" spans="26:35">
      <c r="Z105" s="123"/>
      <c r="AA105" s="123"/>
      <c r="AB105" s="122"/>
      <c r="AC105" s="122"/>
      <c r="AD105" s="122"/>
      <c r="AE105" s="122"/>
      <c r="AF105" s="122"/>
      <c r="AG105" s="122"/>
      <c r="AH105" s="122"/>
      <c r="AI105" s="122"/>
    </row>
    <row r="106" spans="26:35">
      <c r="AB106" s="122"/>
      <c r="AC106" s="122"/>
      <c r="AD106" s="122"/>
      <c r="AE106" s="122"/>
      <c r="AF106" s="122"/>
      <c r="AG106" s="122"/>
      <c r="AH106" s="122"/>
      <c r="AI106" s="122"/>
    </row>
    <row r="107" spans="26:35">
      <c r="AB107" s="122"/>
      <c r="AC107" s="122"/>
      <c r="AD107" s="122"/>
      <c r="AE107" s="122"/>
      <c r="AF107" s="122"/>
      <c r="AG107" s="122"/>
      <c r="AH107" s="122"/>
      <c r="AI107" s="122"/>
    </row>
    <row r="108" spans="26:35">
      <c r="AB108" s="122"/>
      <c r="AC108" s="122"/>
      <c r="AD108" s="122"/>
      <c r="AE108" s="122"/>
      <c r="AF108" s="122"/>
      <c r="AG108" s="122"/>
      <c r="AH108" s="122"/>
      <c r="AI108" s="122"/>
    </row>
  </sheetData>
  <mergeCells count="22">
    <mergeCell ref="AE4:AH4"/>
    <mergeCell ref="M6:Q6"/>
    <mergeCell ref="BC7:BG7"/>
    <mergeCell ref="BC8:BG8"/>
    <mergeCell ref="BY6:CC6"/>
    <mergeCell ref="BT6:BX6"/>
    <mergeCell ref="DM3:DO3"/>
    <mergeCell ref="CF10:CH10"/>
    <mergeCell ref="AA2:AB2"/>
    <mergeCell ref="G3:K3"/>
    <mergeCell ref="CY3:DA3"/>
    <mergeCell ref="DH7:DL7"/>
    <mergeCell ref="DH8:DL8"/>
    <mergeCell ref="DC7:DG7"/>
    <mergeCell ref="DC8:DG8"/>
    <mergeCell ref="CX7:DB7"/>
    <mergeCell ref="CX8:DB8"/>
    <mergeCell ref="V3:X3"/>
    <mergeCell ref="CT3:CV3"/>
    <mergeCell ref="BL3:BN3"/>
    <mergeCell ref="AA3:AC3"/>
    <mergeCell ref="AE3:AH3"/>
  </mergeCells>
  <printOptions horizontalCentered="1"/>
  <pageMargins left="1" right="0.46" top="1" bottom="0.57999999999999996" header="0.24" footer="0.31"/>
  <pageSetup scale="58" orientation="portrait" r:id="rId1"/>
  <headerFooter alignWithMargins="0">
    <oddFooter>&amp;CREVISED AUGUST 08,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CG300"/>
  <sheetViews>
    <sheetView view="pageBreakPreview" topLeftCell="BD1" zoomScale="60" zoomScaleNormal="100" workbookViewId="0">
      <pane ySplit="11" topLeftCell="A12" activePane="bottomLeft" state="frozen"/>
      <selection activeCell="BB2" sqref="BB2"/>
      <selection pane="bottomLeft" activeCell="BB2" sqref="BB2"/>
    </sheetView>
  </sheetViews>
  <sheetFormatPr defaultColWidth="19.33203125" defaultRowHeight="12.75" outlineLevelRow="1"/>
  <cols>
    <col min="1" max="1" width="7" style="3" customWidth="1"/>
    <col min="2" max="2" width="65.5" style="3" customWidth="1"/>
    <col min="3" max="5" width="20.6640625" style="3" customWidth="1"/>
    <col min="6" max="6" width="5.5" style="3" customWidth="1"/>
    <col min="7" max="7" width="51.6640625" style="3" customWidth="1"/>
    <col min="8" max="8" width="5.5" style="3" customWidth="1"/>
    <col min="9" max="9" width="16" style="3" bestFit="1" customWidth="1"/>
    <col min="10" max="10" width="15.1640625" style="3" customWidth="1"/>
    <col min="11" max="11" width="6.1640625" style="3" customWidth="1"/>
    <col min="12" max="12" width="66.1640625" style="3" customWidth="1"/>
    <col min="13" max="15" width="15.33203125" style="3" customWidth="1"/>
    <col min="16" max="16" width="6.5" style="3" bestFit="1" customWidth="1"/>
    <col min="17" max="17" width="38.5" style="3" customWidth="1"/>
    <col min="18" max="20" width="17.33203125" style="3" customWidth="1"/>
    <col min="21" max="21" width="6.83203125" style="3" customWidth="1"/>
    <col min="22" max="22" width="81.33203125" style="3" bestFit="1" customWidth="1"/>
    <col min="23" max="23" width="17" style="3" customWidth="1"/>
    <col min="24" max="24" width="17.83203125" style="3" customWidth="1"/>
    <col min="25" max="25" width="16.1640625" style="3" customWidth="1"/>
    <col min="26" max="26" width="6.5" style="3" bestFit="1" customWidth="1"/>
    <col min="27" max="27" width="81.83203125" style="3" customWidth="1"/>
    <col min="28" max="28" width="17" style="3" customWidth="1"/>
    <col min="29" max="29" width="17.6640625" style="3" customWidth="1"/>
    <col min="30" max="30" width="17" style="3" customWidth="1"/>
    <col min="31" max="31" width="5.83203125" style="3" customWidth="1"/>
    <col min="32" max="32" width="46.83203125" style="3" customWidth="1"/>
    <col min="33" max="33" width="16.6640625" style="3" customWidth="1"/>
    <col min="34" max="34" width="16.33203125" style="3" customWidth="1"/>
    <col min="35" max="35" width="15.83203125" style="3" customWidth="1"/>
    <col min="36" max="36" width="5.83203125" style="3" customWidth="1"/>
    <col min="37" max="37" width="39.6640625" style="3" customWidth="1"/>
    <col min="38" max="38" width="13.33203125" style="3" bestFit="1" customWidth="1"/>
    <col min="39" max="39" width="15.83203125" style="3" bestFit="1" customWidth="1"/>
    <col min="40" max="40" width="22" style="3" customWidth="1"/>
    <col min="41" max="41" width="5.1640625" style="3" customWidth="1"/>
    <col min="42" max="42" width="60.6640625" style="3" customWidth="1"/>
    <col min="43" max="43" width="16" style="3" customWidth="1"/>
    <col min="44" max="44" width="16.5" style="3" customWidth="1"/>
    <col min="45" max="45" width="16.6640625" style="3" customWidth="1"/>
    <col min="46" max="46" width="5.1640625" style="3" customWidth="1"/>
    <col min="47" max="47" width="45.5" style="3" customWidth="1"/>
    <col min="48" max="48" width="18.6640625" style="3" customWidth="1"/>
    <col min="49" max="49" width="18.1640625" style="3" customWidth="1"/>
    <col min="50" max="50" width="19.6640625" style="3" customWidth="1"/>
    <col min="51" max="51" width="5.1640625" style="3" customWidth="1"/>
    <col min="52" max="52" width="67" style="3" customWidth="1"/>
    <col min="53" max="53" width="18.6640625" style="3" customWidth="1"/>
    <col min="54" max="54" width="18.1640625" style="3" customWidth="1"/>
    <col min="55" max="55" width="19.83203125" style="3" customWidth="1"/>
    <col min="56" max="56" width="7.5" style="3" bestFit="1" customWidth="1"/>
    <col min="57" max="57" width="82.83203125" style="3" customWidth="1"/>
    <col min="58" max="58" width="18.1640625" style="3" bestFit="1" customWidth="1"/>
    <col min="59" max="59" width="16.6640625" style="3" bestFit="1" customWidth="1"/>
    <col min="60" max="60" width="26.33203125" style="3" bestFit="1" customWidth="1"/>
    <col min="61" max="61" width="7" style="3" customWidth="1"/>
    <col min="62" max="62" width="73" style="3" customWidth="1"/>
    <col min="63" max="63" width="17.83203125" style="3" customWidth="1"/>
    <col min="64" max="64" width="17.1640625" style="3" customWidth="1"/>
    <col min="65" max="65" width="18.6640625" style="3" customWidth="1"/>
    <col min="66" max="80" width="19.33203125" style="1"/>
    <col min="81" max="81" width="5.83203125" style="3" customWidth="1"/>
    <col min="82" max="82" width="55.1640625" style="224" customWidth="1"/>
    <col min="83" max="83" width="17" style="224" customWidth="1"/>
    <col min="84" max="84" width="15.6640625" style="224" customWidth="1"/>
    <col min="85" max="85" width="22.33203125" style="224" customWidth="1"/>
    <col min="86" max="16384" width="19.33203125" style="1"/>
  </cols>
  <sheetData>
    <row r="1" spans="1:85" s="3" customFormat="1">
      <c r="A1" s="25"/>
      <c r="B1" s="25"/>
      <c r="C1" s="503"/>
      <c r="D1" s="503"/>
      <c r="E1" s="12" t="s">
        <v>870</v>
      </c>
      <c r="F1" s="25"/>
      <c r="J1" s="12" t="str">
        <f>+$E$1</f>
        <v>Exh. MCC-2r</v>
      </c>
      <c r="K1" s="12"/>
      <c r="L1" s="12"/>
      <c r="M1" s="12"/>
      <c r="N1" s="12"/>
      <c r="O1" s="12" t="str">
        <f>+$E$1</f>
        <v>Exh. MCC-2r</v>
      </c>
      <c r="P1" s="25"/>
      <c r="T1" s="12" t="str">
        <f>+$E$1</f>
        <v>Exh. MCC-2r</v>
      </c>
      <c r="U1" s="25"/>
      <c r="V1" s="550"/>
      <c r="W1" s="550"/>
      <c r="X1" s="550"/>
      <c r="Y1" s="12" t="str">
        <f>+$E$1</f>
        <v>Exh. MCC-2r</v>
      </c>
      <c r="Z1" s="25"/>
      <c r="AA1" s="12"/>
      <c r="AB1" s="12"/>
      <c r="AC1" s="12"/>
      <c r="AD1" s="12" t="str">
        <f>+$E$1</f>
        <v>Exh. MCC-2r</v>
      </c>
      <c r="AE1" s="12"/>
      <c r="AF1" s="12"/>
      <c r="AG1" s="12"/>
      <c r="AH1" s="12"/>
      <c r="AI1" s="12" t="str">
        <f>+$E$1</f>
        <v>Exh. MCC-2r</v>
      </c>
      <c r="AK1" s="226"/>
      <c r="AL1" s="226"/>
      <c r="AM1" s="226"/>
      <c r="AN1" s="12" t="str">
        <f>+$E$1</f>
        <v>Exh. MCC-2r</v>
      </c>
      <c r="AO1" s="20"/>
      <c r="AP1" s="20"/>
      <c r="AQ1" s="20"/>
      <c r="AR1" s="20"/>
      <c r="AS1" s="12" t="str">
        <f>+$E$1</f>
        <v>Exh. MCC-2r</v>
      </c>
      <c r="AT1" s="20"/>
      <c r="AU1" s="20"/>
      <c r="AV1" s="20"/>
      <c r="AX1" s="12" t="str">
        <f>+$E$1</f>
        <v>Exh. MCC-2r</v>
      </c>
      <c r="AY1" s="20"/>
      <c r="AZ1" s="20"/>
      <c r="BA1" s="20"/>
      <c r="BC1" s="12" t="str">
        <f>+$E$1</f>
        <v>Exh. MCC-2r</v>
      </c>
      <c r="BD1" s="20"/>
      <c r="BE1" s="20"/>
      <c r="BF1" s="20"/>
      <c r="BH1" s="12" t="str">
        <f>+$E$1</f>
        <v>Exh. MCC-2r</v>
      </c>
      <c r="BI1" s="25"/>
      <c r="BK1" s="12"/>
      <c r="BM1" s="12" t="str">
        <f>+$E$1</f>
        <v>Exh. MCC-2r</v>
      </c>
    </row>
    <row r="2" spans="1:85" s="3" customFormat="1">
      <c r="A2" s="25"/>
      <c r="B2" s="25"/>
      <c r="C2" s="503"/>
      <c r="E2" s="12" t="str">
        <f>'MCC-2r page 1-6'!BB2</f>
        <v>Dockets UE-170033/UG-170034</v>
      </c>
      <c r="F2" s="25"/>
      <c r="J2" s="12" t="str">
        <f>E2</f>
        <v>Dockets UE-170033/UG-170034</v>
      </c>
      <c r="K2" s="12"/>
      <c r="L2" s="12"/>
      <c r="M2" s="12"/>
      <c r="O2" s="12" t="str">
        <f>E2</f>
        <v>Dockets UE-170033/UG-170034</v>
      </c>
      <c r="P2" s="25"/>
      <c r="T2" s="12" t="str">
        <f>E2</f>
        <v>Dockets UE-170033/UG-170034</v>
      </c>
      <c r="U2" s="25"/>
      <c r="V2" s="550" t="s">
        <v>687</v>
      </c>
      <c r="W2" s="550"/>
      <c r="Y2" s="12" t="str">
        <f>E2</f>
        <v>Dockets UE-170033/UG-170034</v>
      </c>
      <c r="Z2" s="25"/>
      <c r="AA2" s="12"/>
      <c r="AB2" s="12"/>
      <c r="AD2" s="12" t="str">
        <f>E2</f>
        <v>Dockets UE-170033/UG-170034</v>
      </c>
      <c r="AE2" s="12"/>
      <c r="AF2" s="12"/>
      <c r="AG2" s="12"/>
      <c r="AI2" s="12" t="str">
        <f>E2</f>
        <v>Dockets UE-170033/UG-170034</v>
      </c>
      <c r="AK2" s="226"/>
      <c r="AL2" s="226"/>
      <c r="AN2" s="12" t="str">
        <f>E2</f>
        <v>Dockets UE-170033/UG-170034</v>
      </c>
      <c r="AO2" s="20"/>
      <c r="AP2" s="20"/>
      <c r="AQ2" s="20"/>
      <c r="AS2" s="12" t="str">
        <f>E2</f>
        <v>Dockets UE-170033/UG-170034</v>
      </c>
      <c r="AW2" s="20"/>
      <c r="AX2" s="12" t="str">
        <f>E2</f>
        <v>Dockets UE-170033/UG-170034</v>
      </c>
      <c r="AY2" s="20"/>
      <c r="AZ2" s="20"/>
      <c r="BA2" s="20"/>
      <c r="BB2" s="20"/>
      <c r="BC2" s="12" t="str">
        <f>E2</f>
        <v>Dockets UE-170033/UG-170034</v>
      </c>
      <c r="BD2" s="20"/>
      <c r="BE2" s="20"/>
      <c r="BF2" s="20"/>
      <c r="BG2" s="20"/>
      <c r="BH2" s="12" t="str">
        <f>E2</f>
        <v>Dockets UE-170033/UG-170034</v>
      </c>
      <c r="BI2" s="25"/>
      <c r="BK2" s="12"/>
      <c r="BM2" s="12" t="str">
        <f>E2</f>
        <v>Dockets UE-170033/UG-170034</v>
      </c>
    </row>
    <row r="3" spans="1:85" s="12" customFormat="1" ht="13.5" thickBot="1">
      <c r="B3" s="916" t="s">
        <v>438</v>
      </c>
      <c r="C3" s="916"/>
      <c r="D3" s="916"/>
      <c r="E3" s="12" t="s">
        <v>686</v>
      </c>
      <c r="J3" s="12" t="s">
        <v>685</v>
      </c>
      <c r="O3" s="12" t="s">
        <v>684</v>
      </c>
      <c r="T3" s="12" t="s">
        <v>683</v>
      </c>
      <c r="V3" s="916" t="s">
        <v>142</v>
      </c>
      <c r="W3" s="916"/>
      <c r="X3" s="916"/>
      <c r="Y3" s="12" t="s">
        <v>682</v>
      </c>
      <c r="AD3" s="12" t="s">
        <v>681</v>
      </c>
      <c r="AI3" s="12" t="s">
        <v>680</v>
      </c>
      <c r="AK3" s="916" t="s">
        <v>142</v>
      </c>
      <c r="AL3" s="916"/>
      <c r="AM3" s="916"/>
      <c r="AN3" s="12" t="s">
        <v>679</v>
      </c>
      <c r="AS3" s="12" t="s">
        <v>678</v>
      </c>
      <c r="AU3" s="916"/>
      <c r="AV3" s="916"/>
      <c r="AW3" s="916"/>
      <c r="AX3" s="12" t="s">
        <v>677</v>
      </c>
      <c r="AZ3" s="916" t="s">
        <v>142</v>
      </c>
      <c r="BA3" s="916"/>
      <c r="BB3" s="916"/>
      <c r="BC3" s="12" t="s">
        <v>676</v>
      </c>
      <c r="BE3" s="916" t="s">
        <v>142</v>
      </c>
      <c r="BF3" s="916"/>
      <c r="BG3" s="916"/>
      <c r="BH3" s="12" t="s">
        <v>675</v>
      </c>
      <c r="BJ3" s="916" t="s">
        <v>142</v>
      </c>
      <c r="BK3" s="916"/>
      <c r="BL3" s="916"/>
      <c r="BM3" s="12" t="s">
        <v>674</v>
      </c>
    </row>
    <row r="4" spans="1:85" s="25" customFormat="1" ht="13.5" thickBot="1">
      <c r="B4" s="549"/>
      <c r="C4" s="394"/>
      <c r="D4" s="394"/>
      <c r="E4" s="413" t="s">
        <v>673</v>
      </c>
      <c r="J4" s="413">
        <f>+'MCC-2r page 1-6'!AE14</f>
        <v>14.02</v>
      </c>
      <c r="K4" s="548"/>
      <c r="L4" s="548"/>
      <c r="M4" s="548"/>
      <c r="N4" s="548"/>
      <c r="O4" s="410">
        <f>+'MCC-2r page 1-6'!AF14</f>
        <v>14.03</v>
      </c>
      <c r="P4" s="119"/>
      <c r="Q4" s="12"/>
      <c r="R4" s="12"/>
      <c r="S4" s="12"/>
      <c r="T4" s="410">
        <f>+'MCC-2r page 1-6'!AG14</f>
        <v>14.04</v>
      </c>
      <c r="U4" s="547"/>
      <c r="V4" s="547"/>
      <c r="W4" s="547"/>
      <c r="X4" s="547"/>
      <c r="Y4" s="413">
        <f>+'MCC-2r page 1-6'!AH14</f>
        <v>14.05</v>
      </c>
      <c r="Z4" s="541"/>
      <c r="AA4" s="541"/>
      <c r="AB4" s="414"/>
      <c r="AC4" s="541"/>
      <c r="AD4" s="410">
        <f>+'MCC-2r page 1-6'!AI14</f>
        <v>14.06</v>
      </c>
      <c r="AE4" s="20"/>
      <c r="AF4" s="20"/>
      <c r="AG4" s="20"/>
      <c r="AH4" s="20"/>
      <c r="AI4" s="410">
        <f>+'MCC-2r page 1-6'!AJ14</f>
        <v>14.07</v>
      </c>
      <c r="AN4" s="410">
        <f>+'MCC-2r page 1-6'!AK14</f>
        <v>14.08</v>
      </c>
      <c r="AO4" s="20"/>
      <c r="AP4" s="546"/>
      <c r="AQ4" s="20"/>
      <c r="AR4" s="20"/>
      <c r="AS4" s="410">
        <f>+'MCC-2r page 1-6'!AL14</f>
        <v>14.09</v>
      </c>
      <c r="AT4" s="20"/>
      <c r="AU4" s="546"/>
      <c r="AV4" s="20"/>
      <c r="AW4" s="20"/>
      <c r="AX4" s="410">
        <f>+'MCC-2r page 1-6'!AM14</f>
        <v>14.1</v>
      </c>
      <c r="AY4" s="20"/>
      <c r="AZ4" s="546"/>
      <c r="BA4" s="20"/>
      <c r="BB4" s="20"/>
      <c r="BC4" s="413">
        <f>+'MCC-2r page 1-6'!AN14</f>
        <v>14.11</v>
      </c>
      <c r="BD4" s="20"/>
      <c r="BE4" s="546"/>
      <c r="BF4" s="20"/>
      <c r="BG4" s="20"/>
      <c r="BH4" s="410">
        <f>+'MCC-2r page 1-6'!AO14</f>
        <v>14.12</v>
      </c>
      <c r="BM4" s="413">
        <f>+'MCC-2r page 1-6'!AP14</f>
        <v>14.13</v>
      </c>
    </row>
    <row r="5" spans="1:85" s="3" customFormat="1">
      <c r="A5" s="401" t="s">
        <v>148</v>
      </c>
      <c r="B5" s="401"/>
      <c r="C5" s="397"/>
      <c r="D5" s="397"/>
      <c r="E5" s="406"/>
      <c r="F5" s="393" t="s">
        <v>148</v>
      </c>
      <c r="G5" s="114"/>
      <c r="H5" s="114"/>
      <c r="I5" s="114"/>
      <c r="J5" s="114"/>
      <c r="K5" s="393" t="s">
        <v>148</v>
      </c>
      <c r="L5" s="114"/>
      <c r="M5" s="114"/>
      <c r="N5" s="114"/>
      <c r="O5" s="114"/>
      <c r="P5" s="393" t="s">
        <v>148</v>
      </c>
      <c r="Q5" s="114"/>
      <c r="R5" s="114"/>
      <c r="S5" s="114"/>
      <c r="T5" s="114"/>
      <c r="U5" s="393" t="s">
        <v>148</v>
      </c>
      <c r="V5" s="114"/>
      <c r="W5" s="114"/>
      <c r="X5" s="114"/>
      <c r="Y5" s="114"/>
      <c r="Z5" s="401" t="s">
        <v>148</v>
      </c>
      <c r="AA5" s="401"/>
      <c r="AB5" s="397"/>
      <c r="AC5" s="397"/>
      <c r="AD5" s="397"/>
      <c r="AE5" s="393" t="s">
        <v>148</v>
      </c>
      <c r="AF5" s="114"/>
      <c r="AG5" s="114"/>
      <c r="AH5" s="114"/>
      <c r="AI5" s="114"/>
      <c r="AJ5" s="401" t="s">
        <v>148</v>
      </c>
      <c r="AK5" s="401"/>
      <c r="AL5" s="397"/>
      <c r="AM5" s="397"/>
      <c r="AN5" s="397"/>
      <c r="AO5" s="922" t="s">
        <v>148</v>
      </c>
      <c r="AP5" s="922"/>
      <c r="AQ5" s="922"/>
      <c r="AR5" s="922"/>
      <c r="AS5" s="922"/>
      <c r="AT5" s="922" t="s">
        <v>148</v>
      </c>
      <c r="AU5" s="922"/>
      <c r="AV5" s="922"/>
      <c r="AW5" s="922"/>
      <c r="AX5" s="922"/>
      <c r="AY5" s="922" t="s">
        <v>148</v>
      </c>
      <c r="AZ5" s="922"/>
      <c r="BA5" s="922"/>
      <c r="BB5" s="922"/>
      <c r="BC5" s="922"/>
      <c r="BD5" s="922" t="s">
        <v>148</v>
      </c>
      <c r="BE5" s="922"/>
      <c r="BF5" s="922"/>
      <c r="BG5" s="922"/>
      <c r="BH5" s="922"/>
      <c r="BI5" s="916" t="s">
        <v>148</v>
      </c>
      <c r="BJ5" s="916"/>
      <c r="BK5" s="916"/>
      <c r="BL5" s="916"/>
      <c r="BM5" s="916"/>
    </row>
    <row r="6" spans="1:85" s="3" customFormat="1">
      <c r="A6" s="397" t="s">
        <v>672</v>
      </c>
      <c r="B6" s="397"/>
      <c r="C6" s="397"/>
      <c r="D6" s="397"/>
      <c r="E6" s="406"/>
      <c r="F6" s="114" t="s">
        <v>671</v>
      </c>
      <c r="G6" s="114"/>
      <c r="H6" s="114"/>
      <c r="I6" s="114"/>
      <c r="J6" s="406"/>
      <c r="K6" s="114" t="s">
        <v>670</v>
      </c>
      <c r="L6" s="114"/>
      <c r="M6" s="114"/>
      <c r="N6" s="114"/>
      <c r="O6" s="114"/>
      <c r="P6" s="114" t="s">
        <v>669</v>
      </c>
      <c r="Q6" s="406"/>
      <c r="R6" s="406"/>
      <c r="S6" s="406"/>
      <c r="T6" s="406"/>
      <c r="U6" s="114" t="s">
        <v>668</v>
      </c>
      <c r="V6" s="114"/>
      <c r="W6" s="114"/>
      <c r="X6" s="114"/>
      <c r="Y6" s="114"/>
      <c r="Z6" s="397" t="s">
        <v>667</v>
      </c>
      <c r="AA6" s="397"/>
      <c r="AB6" s="397"/>
      <c r="AC6" s="397"/>
      <c r="AD6" s="406"/>
      <c r="AE6" s="114" t="s">
        <v>666</v>
      </c>
      <c r="AF6" s="114"/>
      <c r="AG6" s="114"/>
      <c r="AH6" s="114"/>
      <c r="AI6" s="114"/>
      <c r="AJ6" s="114" t="s">
        <v>665</v>
      </c>
      <c r="AK6" s="437"/>
      <c r="AL6" s="397"/>
      <c r="AM6" s="397"/>
      <c r="AN6" s="406"/>
      <c r="AO6" s="922" t="s">
        <v>664</v>
      </c>
      <c r="AP6" s="922"/>
      <c r="AQ6" s="922"/>
      <c r="AR6" s="922"/>
      <c r="AS6" s="922"/>
      <c r="AT6" s="922" t="s">
        <v>663</v>
      </c>
      <c r="AU6" s="922"/>
      <c r="AV6" s="922"/>
      <c r="AW6" s="922"/>
      <c r="AX6" s="922"/>
      <c r="AY6" s="922" t="s">
        <v>662</v>
      </c>
      <c r="AZ6" s="922"/>
      <c r="BA6" s="922"/>
      <c r="BB6" s="922"/>
      <c r="BC6" s="922"/>
      <c r="BD6" s="922" t="s">
        <v>661</v>
      </c>
      <c r="BE6" s="922"/>
      <c r="BF6" s="922"/>
      <c r="BG6" s="922"/>
      <c r="BH6" s="922"/>
      <c r="BI6" s="114" t="s">
        <v>660</v>
      </c>
      <c r="BJ6" s="114"/>
      <c r="BK6" s="114"/>
      <c r="BL6" s="114"/>
      <c r="BM6" s="406"/>
    </row>
    <row r="7" spans="1:85">
      <c r="A7" s="114" t="str">
        <f>keep_TESTYEAR</f>
        <v>FOR THE TWELVE MONTHS ENDED SEPTEMBER 30, 2016</v>
      </c>
      <c r="B7" s="114"/>
      <c r="C7" s="393"/>
      <c r="D7" s="114"/>
      <c r="E7" s="114"/>
      <c r="F7" s="114" t="str">
        <f>keep_TESTYEAR</f>
        <v>FOR THE TWELVE MONTHS ENDED SEPTEMBER 30, 2016</v>
      </c>
      <c r="G7" s="114"/>
      <c r="H7" s="114"/>
      <c r="I7" s="114"/>
      <c r="J7" s="398"/>
      <c r="K7" s="114" t="str">
        <f>keep_TESTYEAR</f>
        <v>FOR THE TWELVE MONTHS ENDED SEPTEMBER 30, 2016</v>
      </c>
      <c r="L7" s="114"/>
      <c r="M7" s="114"/>
      <c r="N7" s="114"/>
      <c r="O7" s="114"/>
      <c r="P7" s="114" t="str">
        <f>keep_TESTYEAR</f>
        <v>FOR THE TWELVE MONTHS ENDED SEPTEMBER 30, 2016</v>
      </c>
      <c r="Q7" s="398"/>
      <c r="R7" s="398"/>
      <c r="S7" s="398"/>
      <c r="T7" s="398"/>
      <c r="U7" s="114" t="str">
        <f>keep_TESTYEAR</f>
        <v>FOR THE TWELVE MONTHS ENDED SEPTEMBER 30, 2016</v>
      </c>
      <c r="V7" s="114"/>
      <c r="W7" s="114"/>
      <c r="X7" s="114"/>
      <c r="Y7" s="114"/>
      <c r="Z7" s="114" t="str">
        <f>keep_TESTYEAR</f>
        <v>FOR THE TWELVE MONTHS ENDED SEPTEMBER 30, 2016</v>
      </c>
      <c r="AA7" s="397"/>
      <c r="AB7" s="397"/>
      <c r="AC7" s="397"/>
      <c r="AD7" s="398"/>
      <c r="AE7" s="114" t="str">
        <f>keep_TESTYEAR</f>
        <v>FOR THE TWELVE MONTHS ENDED SEPTEMBER 30, 2016</v>
      </c>
      <c r="AF7" s="114"/>
      <c r="AG7" s="114"/>
      <c r="AH7" s="114"/>
      <c r="AI7" s="114"/>
      <c r="AJ7" s="397" t="s">
        <v>409</v>
      </c>
      <c r="AK7" s="397"/>
      <c r="AL7" s="397"/>
      <c r="AM7" s="397"/>
      <c r="AN7" s="398"/>
      <c r="AO7" s="922" t="str">
        <f>keep_TESTYEAR</f>
        <v>FOR THE TWELVE MONTHS ENDED SEPTEMBER 30, 2016</v>
      </c>
      <c r="AP7" s="922"/>
      <c r="AQ7" s="922"/>
      <c r="AR7" s="922"/>
      <c r="AS7" s="922"/>
      <c r="AT7" s="922" t="str">
        <f>keep_TESTYEAR</f>
        <v>FOR THE TWELVE MONTHS ENDED SEPTEMBER 30, 2016</v>
      </c>
      <c r="AU7" s="922"/>
      <c r="AV7" s="922"/>
      <c r="AW7" s="922"/>
      <c r="AX7" s="922"/>
      <c r="AY7" s="922" t="str">
        <f>keep_TESTYEAR</f>
        <v>FOR THE TWELVE MONTHS ENDED SEPTEMBER 30, 2016</v>
      </c>
      <c r="AZ7" s="922"/>
      <c r="BA7" s="922"/>
      <c r="BB7" s="922"/>
      <c r="BC7" s="922"/>
      <c r="BD7" s="922" t="str">
        <f>keep_TESTYEAR</f>
        <v>FOR THE TWELVE MONTHS ENDED SEPTEMBER 30, 2016</v>
      </c>
      <c r="BE7" s="922"/>
      <c r="BF7" s="922"/>
      <c r="BG7" s="922"/>
      <c r="BH7" s="922"/>
      <c r="BI7" s="114" t="str">
        <f>keep_TESTYEAR</f>
        <v>FOR THE TWELVE MONTHS ENDED SEPTEMBER 30, 2016</v>
      </c>
      <c r="BJ7" s="114"/>
      <c r="BK7" s="114"/>
      <c r="BL7" s="114"/>
      <c r="BM7" s="398"/>
    </row>
    <row r="8" spans="1:85" s="3" customFormat="1">
      <c r="A8" s="393" t="s">
        <v>658</v>
      </c>
      <c r="B8" s="114"/>
      <c r="C8" s="393"/>
      <c r="D8" s="393"/>
      <c r="E8" s="393"/>
      <c r="F8" s="400" t="s">
        <v>658</v>
      </c>
      <c r="G8" s="400"/>
      <c r="H8" s="393"/>
      <c r="I8" s="400"/>
      <c r="J8" s="400"/>
      <c r="K8" s="114" t="s">
        <v>658</v>
      </c>
      <c r="L8" s="114"/>
      <c r="M8" s="114"/>
      <c r="N8" s="114"/>
      <c r="O8" s="114"/>
      <c r="P8" s="393" t="s">
        <v>658</v>
      </c>
      <c r="Q8" s="114"/>
      <c r="R8" s="114"/>
      <c r="S8" s="114"/>
      <c r="T8" s="114"/>
      <c r="U8" s="393" t="s">
        <v>658</v>
      </c>
      <c r="V8" s="114"/>
      <c r="W8" s="114"/>
      <c r="X8" s="114"/>
      <c r="Y8" s="114"/>
      <c r="Z8" s="545" t="s">
        <v>659</v>
      </c>
      <c r="AA8" s="397"/>
      <c r="AB8" s="397"/>
      <c r="AC8" s="397"/>
      <c r="AD8" s="398"/>
      <c r="AE8" s="114" t="s">
        <v>658</v>
      </c>
      <c r="AF8" s="114"/>
      <c r="AG8" s="114"/>
      <c r="AH8" s="114"/>
      <c r="AI8" s="114"/>
      <c r="AJ8" s="397" t="s">
        <v>658</v>
      </c>
      <c r="AK8" s="397"/>
      <c r="AL8" s="397"/>
      <c r="AM8" s="397"/>
      <c r="AN8" s="398"/>
      <c r="AO8" s="916" t="s">
        <v>658</v>
      </c>
      <c r="AP8" s="916"/>
      <c r="AQ8" s="916"/>
      <c r="AR8" s="916"/>
      <c r="AS8" s="916"/>
      <c r="AT8" s="916" t="s">
        <v>658</v>
      </c>
      <c r="AU8" s="916"/>
      <c r="AV8" s="916"/>
      <c r="AW8" s="916"/>
      <c r="AX8" s="916"/>
      <c r="AY8" s="916" t="s">
        <v>658</v>
      </c>
      <c r="AZ8" s="916"/>
      <c r="BA8" s="916"/>
      <c r="BB8" s="916"/>
      <c r="BC8" s="916"/>
      <c r="BD8" s="916" t="s">
        <v>658</v>
      </c>
      <c r="BE8" s="916"/>
      <c r="BF8" s="916"/>
      <c r="BG8" s="916"/>
      <c r="BH8" s="916"/>
      <c r="BI8" s="114" t="s">
        <v>658</v>
      </c>
      <c r="BJ8" s="114"/>
      <c r="BK8" s="114"/>
      <c r="BL8" s="114"/>
      <c r="BM8" s="398"/>
      <c r="CD8" s="224"/>
      <c r="CE8" s="224"/>
      <c r="CF8" s="224"/>
      <c r="CG8" s="224"/>
    </row>
    <row r="9" spans="1:85" s="3" customFormat="1" ht="13.5">
      <c r="A9" s="25"/>
      <c r="C9" s="25"/>
      <c r="D9" s="104"/>
      <c r="E9" s="391" t="s">
        <v>144</v>
      </c>
      <c r="F9" s="25"/>
      <c r="G9" s="385"/>
      <c r="H9" s="385"/>
      <c r="I9" s="104"/>
      <c r="J9" s="391" t="s">
        <v>144</v>
      </c>
      <c r="K9" s="437"/>
      <c r="L9" s="437"/>
      <c r="M9" s="437"/>
      <c r="N9" s="437"/>
      <c r="O9" s="437"/>
      <c r="P9" s="93"/>
      <c r="Q9" s="93"/>
      <c r="R9" s="93"/>
      <c r="S9" s="93"/>
      <c r="T9" s="93"/>
      <c r="U9" s="25"/>
      <c r="V9" s="385"/>
      <c r="W9" s="385"/>
      <c r="X9" s="385"/>
      <c r="Y9" s="25"/>
      <c r="Z9" s="541"/>
      <c r="AA9" s="226"/>
      <c r="AB9" s="541"/>
      <c r="AC9" s="104"/>
      <c r="AD9" s="104"/>
      <c r="AE9" s="544"/>
      <c r="AF9" s="114"/>
      <c r="AG9" s="114"/>
      <c r="AH9" s="114"/>
      <c r="AI9" s="114"/>
      <c r="AM9" s="104"/>
      <c r="AN9" s="104"/>
      <c r="AO9" s="25"/>
      <c r="AP9" s="25"/>
      <c r="AQ9" s="25"/>
      <c r="AR9" s="104"/>
      <c r="AS9" s="104"/>
      <c r="AT9" s="25"/>
      <c r="AU9" s="25"/>
      <c r="AV9" s="25"/>
      <c r="AW9" s="104"/>
      <c r="AX9" s="104"/>
      <c r="AY9" s="25"/>
      <c r="AZ9" s="25"/>
      <c r="BA9" s="25"/>
      <c r="BB9" s="104"/>
      <c r="BC9" s="391" t="s">
        <v>144</v>
      </c>
      <c r="BD9" s="25"/>
      <c r="BE9" s="25"/>
      <c r="BF9" s="25"/>
      <c r="BG9" s="104"/>
      <c r="BH9" s="104"/>
      <c r="BI9" s="25"/>
      <c r="BJ9" s="106"/>
      <c r="BK9" s="104"/>
      <c r="BL9" s="391"/>
      <c r="BM9" s="104"/>
      <c r="BN9" s="1"/>
      <c r="BO9" s="1"/>
      <c r="BP9" s="1"/>
      <c r="BQ9" s="1"/>
      <c r="BR9" s="1"/>
      <c r="BS9" s="1"/>
      <c r="BT9" s="1"/>
      <c r="BU9" s="1"/>
      <c r="BV9" s="1"/>
      <c r="BW9" s="1"/>
      <c r="BX9" s="1"/>
      <c r="CD9" s="224"/>
      <c r="CE9" s="224"/>
      <c r="CF9" s="224"/>
      <c r="CG9" s="224"/>
    </row>
    <row r="10" spans="1:85" ht="15.75" customHeight="1">
      <c r="A10" s="26" t="s">
        <v>99</v>
      </c>
      <c r="B10" s="385"/>
      <c r="C10" s="543"/>
      <c r="D10" s="384"/>
      <c r="E10" s="384" t="s">
        <v>84</v>
      </c>
      <c r="F10" s="384" t="s">
        <v>99</v>
      </c>
      <c r="G10" s="25"/>
      <c r="H10" s="25"/>
      <c r="K10" s="26" t="s">
        <v>99</v>
      </c>
      <c r="L10" s="385"/>
      <c r="M10" s="540"/>
      <c r="N10" s="384"/>
      <c r="O10" s="384"/>
      <c r="P10" s="384" t="s">
        <v>99</v>
      </c>
      <c r="Q10" s="542"/>
      <c r="R10" s="542"/>
      <c r="S10" s="542"/>
      <c r="T10" s="542"/>
      <c r="U10" s="384" t="s">
        <v>99</v>
      </c>
      <c r="V10" s="385"/>
      <c r="W10" s="385"/>
      <c r="X10" s="385"/>
      <c r="Y10" s="26"/>
      <c r="Z10" s="387" t="s">
        <v>99</v>
      </c>
      <c r="AA10" s="541"/>
      <c r="AB10" s="381" t="s">
        <v>657</v>
      </c>
      <c r="AC10" s="381" t="s">
        <v>61</v>
      </c>
      <c r="AD10" s="381"/>
      <c r="AE10" s="26" t="s">
        <v>99</v>
      </c>
      <c r="AF10" s="385"/>
      <c r="AG10" s="540"/>
      <c r="AH10" s="384" t="s">
        <v>103</v>
      </c>
      <c r="AI10" s="384"/>
      <c r="AJ10" s="20" t="s">
        <v>99</v>
      </c>
      <c r="AK10" s="20"/>
      <c r="AL10" s="20"/>
      <c r="AO10" s="20" t="s">
        <v>99</v>
      </c>
      <c r="AP10" s="20"/>
      <c r="AQ10" s="20"/>
      <c r="AR10" s="539" t="s">
        <v>141</v>
      </c>
      <c r="AS10" s="539" t="s">
        <v>141</v>
      </c>
      <c r="AT10" s="20" t="s">
        <v>99</v>
      </c>
      <c r="AU10" s="20"/>
      <c r="AV10" s="20"/>
      <c r="AW10" s="539" t="s">
        <v>141</v>
      </c>
      <c r="AX10" s="539" t="s">
        <v>141</v>
      </c>
      <c r="AY10" s="20" t="s">
        <v>99</v>
      </c>
      <c r="AZ10" s="20"/>
      <c r="BA10" s="20"/>
      <c r="BB10" s="539" t="s">
        <v>141</v>
      </c>
      <c r="BC10" s="539" t="s">
        <v>141</v>
      </c>
      <c r="BD10" s="20" t="s">
        <v>99</v>
      </c>
      <c r="BE10" s="20"/>
      <c r="BF10" s="20"/>
      <c r="BG10" s="539" t="s">
        <v>141</v>
      </c>
      <c r="BH10" s="539" t="s">
        <v>141</v>
      </c>
      <c r="BI10" s="384" t="s">
        <v>99</v>
      </c>
      <c r="BJ10" s="25"/>
      <c r="BK10" s="26" t="s">
        <v>396</v>
      </c>
      <c r="BL10" s="26" t="s">
        <v>104</v>
      </c>
      <c r="BM10" s="26" t="s">
        <v>656</v>
      </c>
    </row>
    <row r="11" spans="1:85" ht="16.5" customHeight="1">
      <c r="A11" s="368" t="s">
        <v>58</v>
      </c>
      <c r="B11" s="369" t="s">
        <v>391</v>
      </c>
      <c r="C11" s="370" t="s">
        <v>140</v>
      </c>
      <c r="D11" s="370" t="s">
        <v>396</v>
      </c>
      <c r="E11" s="370" t="s">
        <v>655</v>
      </c>
      <c r="F11" s="370" t="s">
        <v>58</v>
      </c>
      <c r="G11" s="373" t="s">
        <v>391</v>
      </c>
      <c r="H11" s="368"/>
      <c r="I11" s="368" t="s">
        <v>396</v>
      </c>
      <c r="J11" s="368" t="s">
        <v>394</v>
      </c>
      <c r="K11" s="368" t="s">
        <v>58</v>
      </c>
      <c r="L11" s="369" t="s">
        <v>391</v>
      </c>
      <c r="M11" s="375" t="s">
        <v>140</v>
      </c>
      <c r="N11" s="370" t="s">
        <v>396</v>
      </c>
      <c r="O11" s="370" t="s">
        <v>66</v>
      </c>
      <c r="P11" s="370" t="s">
        <v>58</v>
      </c>
      <c r="Q11" s="538"/>
      <c r="R11" s="368" t="s">
        <v>140</v>
      </c>
      <c r="S11" s="368" t="s">
        <v>392</v>
      </c>
      <c r="T11" s="370" t="s">
        <v>66</v>
      </c>
      <c r="U11" s="370" t="s">
        <v>58</v>
      </c>
      <c r="V11" s="369" t="s">
        <v>391</v>
      </c>
      <c r="W11" s="368" t="s">
        <v>328</v>
      </c>
      <c r="X11" s="368" t="s">
        <v>315</v>
      </c>
      <c r="Y11" s="368" t="s">
        <v>394</v>
      </c>
      <c r="Z11" s="363" t="s">
        <v>58</v>
      </c>
      <c r="AA11" s="537" t="s">
        <v>391</v>
      </c>
      <c r="AB11" s="363" t="s">
        <v>401</v>
      </c>
      <c r="AC11" s="363" t="s">
        <v>654</v>
      </c>
      <c r="AD11" s="363" t="s">
        <v>66</v>
      </c>
      <c r="AE11" s="368" t="s">
        <v>58</v>
      </c>
      <c r="AF11" s="369" t="s">
        <v>391</v>
      </c>
      <c r="AG11" s="370" t="s">
        <v>393</v>
      </c>
      <c r="AH11" s="370" t="s">
        <v>393</v>
      </c>
      <c r="AI11" s="370" t="s">
        <v>66</v>
      </c>
      <c r="AJ11" s="366" t="s">
        <v>58</v>
      </c>
      <c r="AK11" s="366" t="s">
        <v>391</v>
      </c>
      <c r="AL11" s="365" t="s">
        <v>393</v>
      </c>
      <c r="AM11" s="365" t="s">
        <v>396</v>
      </c>
      <c r="AN11" s="365" t="s">
        <v>66</v>
      </c>
      <c r="AO11" s="366" t="s">
        <v>58</v>
      </c>
      <c r="AP11" s="366" t="s">
        <v>391</v>
      </c>
      <c r="AQ11" s="365" t="s">
        <v>393</v>
      </c>
      <c r="AR11" s="365" t="s">
        <v>395</v>
      </c>
      <c r="AS11" s="365" t="s">
        <v>66</v>
      </c>
      <c r="AT11" s="366" t="s">
        <v>58</v>
      </c>
      <c r="AU11" s="366" t="s">
        <v>391</v>
      </c>
      <c r="AV11" s="365" t="s">
        <v>393</v>
      </c>
      <c r="AW11" s="365" t="s">
        <v>395</v>
      </c>
      <c r="AX11" s="365" t="s">
        <v>66</v>
      </c>
      <c r="AY11" s="366" t="s">
        <v>58</v>
      </c>
      <c r="AZ11" s="366" t="s">
        <v>391</v>
      </c>
      <c r="BA11" s="365" t="s">
        <v>393</v>
      </c>
      <c r="BB11" s="365" t="s">
        <v>395</v>
      </c>
      <c r="BC11" s="365" t="s">
        <v>66</v>
      </c>
      <c r="BD11" s="366" t="s">
        <v>58</v>
      </c>
      <c r="BE11" s="366" t="s">
        <v>391</v>
      </c>
      <c r="BF11" s="365" t="s">
        <v>393</v>
      </c>
      <c r="BG11" s="365" t="s">
        <v>395</v>
      </c>
      <c r="BH11" s="365" t="s">
        <v>66</v>
      </c>
      <c r="BI11" s="368" t="s">
        <v>58</v>
      </c>
      <c r="BJ11" s="369" t="s">
        <v>391</v>
      </c>
      <c r="BK11" s="368" t="s">
        <v>653</v>
      </c>
      <c r="BL11" s="368" t="s">
        <v>652</v>
      </c>
      <c r="BM11" s="536">
        <f>k_FITrate</f>
        <v>0.35</v>
      </c>
    </row>
    <row r="12" spans="1:85">
      <c r="A12" s="88"/>
      <c r="B12" s="90"/>
      <c r="C12" s="90"/>
      <c r="D12" s="90"/>
      <c r="E12" s="90"/>
      <c r="F12" s="9"/>
      <c r="G12" s="4"/>
      <c r="H12" s="432"/>
      <c r="I12" s="351"/>
      <c r="J12" s="351"/>
      <c r="K12" s="90"/>
      <c r="L12" s="90"/>
      <c r="M12" s="90"/>
      <c r="N12" s="90"/>
      <c r="O12" s="90"/>
      <c r="P12" s="9"/>
      <c r="Q12" s="84"/>
      <c r="R12" s="36"/>
      <c r="S12" s="36"/>
      <c r="T12" s="36"/>
      <c r="Z12" s="226"/>
      <c r="AA12" s="226"/>
      <c r="AB12" s="226"/>
      <c r="AC12" s="226"/>
      <c r="AD12" s="226"/>
      <c r="AE12" s="360"/>
      <c r="AF12" s="360"/>
      <c r="AG12" s="360"/>
      <c r="AH12" s="360"/>
      <c r="AI12" s="360"/>
      <c r="AO12" s="1"/>
      <c r="AP12" s="1"/>
      <c r="AQ12" s="1"/>
      <c r="AR12" s="1"/>
      <c r="AS12" s="1"/>
      <c r="AT12" s="1"/>
      <c r="AU12" s="1"/>
      <c r="AV12" s="1"/>
      <c r="AW12" s="1"/>
      <c r="AX12" s="1"/>
      <c r="AY12" s="1"/>
      <c r="AZ12" s="1"/>
      <c r="BA12" s="1"/>
      <c r="BB12" s="1"/>
      <c r="BC12" s="1"/>
      <c r="BD12" s="1"/>
      <c r="BE12" s="1"/>
      <c r="BF12" s="1"/>
      <c r="BG12" s="1"/>
      <c r="BH12" s="1"/>
      <c r="BM12" s="406"/>
    </row>
    <row r="13" spans="1:85" s="3" customFormat="1" ht="15">
      <c r="A13" s="9">
        <v>1</v>
      </c>
      <c r="B13" s="146" t="s">
        <v>651</v>
      </c>
      <c r="F13" s="9">
        <f t="shared" ref="F13:F26" si="0">F12+1</f>
        <v>1</v>
      </c>
      <c r="G13" s="354" t="s">
        <v>650</v>
      </c>
      <c r="H13" s="354"/>
      <c r="I13" s="535">
        <v>4224063645.7362509</v>
      </c>
      <c r="K13" s="9">
        <v>1</v>
      </c>
      <c r="M13" s="122"/>
      <c r="N13" s="122"/>
      <c r="O13" s="122"/>
      <c r="P13" s="9">
        <v>1</v>
      </c>
      <c r="Q13" s="534" t="s">
        <v>649</v>
      </c>
      <c r="R13" s="44">
        <f>'MCC-2r page 1-6'!D43</f>
        <v>-64111667.629999898</v>
      </c>
      <c r="S13" s="44">
        <v>0</v>
      </c>
      <c r="T13" s="44">
        <f>S13-R13</f>
        <v>64111667.629999898</v>
      </c>
      <c r="U13" s="9">
        <v>1</v>
      </c>
      <c r="V13" s="368" t="s">
        <v>648</v>
      </c>
      <c r="W13" s="351"/>
      <c r="X13" s="351"/>
      <c r="Y13" s="351"/>
      <c r="Z13" s="9">
        <v>1</v>
      </c>
      <c r="AA13" s="528" t="s">
        <v>647</v>
      </c>
      <c r="AB13" s="159"/>
      <c r="AC13" s="159"/>
      <c r="AD13" s="159"/>
      <c r="AE13" s="137">
        <v>1</v>
      </c>
      <c r="AF13" s="422" t="s">
        <v>637</v>
      </c>
      <c r="AG13" s="533"/>
      <c r="AH13" s="533"/>
      <c r="AI13" s="360"/>
      <c r="AJ13" s="449">
        <v>1</v>
      </c>
      <c r="AK13" s="332" t="s">
        <v>646</v>
      </c>
      <c r="AL13" s="345"/>
      <c r="AM13" s="345"/>
      <c r="AN13" s="345"/>
      <c r="AO13" s="449">
        <v>1</v>
      </c>
      <c r="AP13" s="468" t="s">
        <v>645</v>
      </c>
      <c r="AQ13" s="467"/>
      <c r="AR13" s="467"/>
      <c r="AS13" s="467"/>
      <c r="AT13" s="1">
        <v>1</v>
      </c>
      <c r="AU13" s="332" t="s">
        <v>644</v>
      </c>
      <c r="AV13" s="345"/>
      <c r="AW13" s="345"/>
      <c r="AX13" s="345"/>
      <c r="AY13" s="1">
        <v>1</v>
      </c>
      <c r="AZ13" s="491" t="s">
        <v>643</v>
      </c>
      <c r="BA13" s="345"/>
      <c r="BB13" s="345"/>
      <c r="BC13" s="345"/>
      <c r="BD13" s="416">
        <v>1</v>
      </c>
      <c r="BE13" s="532" t="s">
        <v>642</v>
      </c>
      <c r="BF13" s="531"/>
      <c r="BG13" s="531"/>
      <c r="BH13" s="531"/>
      <c r="BI13" s="416">
        <v>1</v>
      </c>
      <c r="BJ13" s="269" t="s">
        <v>641</v>
      </c>
      <c r="BK13" s="423" t="s">
        <v>640</v>
      </c>
      <c r="BL13" s="523">
        <f>1-1</f>
        <v>0</v>
      </c>
      <c r="BN13" s="1"/>
      <c r="BO13" s="1"/>
      <c r="BP13" s="1"/>
      <c r="BQ13" s="1"/>
      <c r="BR13" s="1"/>
      <c r="BS13" s="1"/>
      <c r="BT13" s="1"/>
      <c r="BU13" s="1"/>
      <c r="BV13" s="1"/>
      <c r="BW13" s="1"/>
      <c r="BX13" s="1"/>
      <c r="CD13" s="224"/>
      <c r="CE13" s="224"/>
      <c r="CF13" s="224"/>
      <c r="CG13" s="224"/>
    </row>
    <row r="14" spans="1:85" s="3" customFormat="1" ht="15">
      <c r="A14" s="9">
        <f t="shared" ref="A14:A35" si="1">A13+1</f>
        <v>2</v>
      </c>
      <c r="B14" s="517" t="s">
        <v>639</v>
      </c>
      <c r="C14" s="166">
        <v>85246014.709999993</v>
      </c>
      <c r="D14" s="530">
        <v>77997834.053736418</v>
      </c>
      <c r="E14" s="530">
        <f t="shared" ref="E14:E25" si="2">+D14-C14</f>
        <v>-7248180.656263575</v>
      </c>
      <c r="F14" s="9">
        <f t="shared" si="0"/>
        <v>2</v>
      </c>
      <c r="G14" s="423" t="s">
        <v>638</v>
      </c>
      <c r="H14" s="354"/>
      <c r="I14" s="529">
        <v>0.05</v>
      </c>
      <c r="K14" s="9">
        <f t="shared" ref="K14:K28" si="3">K13+1</f>
        <v>2</v>
      </c>
      <c r="L14" s="528" t="s">
        <v>637</v>
      </c>
      <c r="M14" s="159"/>
      <c r="N14" s="159"/>
      <c r="O14" s="159"/>
      <c r="P14" s="9">
        <f t="shared" ref="P14:P21" si="4">P13+1</f>
        <v>2</v>
      </c>
      <c r="Q14" s="49"/>
      <c r="R14" s="288"/>
      <c r="S14" s="66"/>
      <c r="T14" s="66"/>
      <c r="U14" s="9">
        <f t="shared" ref="U14:U45" si="5">U13+1</f>
        <v>2</v>
      </c>
      <c r="V14" s="527" t="s">
        <v>636</v>
      </c>
      <c r="W14" s="422"/>
      <c r="X14" s="422"/>
      <c r="Y14" s="526"/>
      <c r="Z14" s="9">
        <f>Z13+1</f>
        <v>2</v>
      </c>
      <c r="AA14" s="41" t="s">
        <v>479</v>
      </c>
      <c r="AB14" s="64">
        <v>2930264.5350000057</v>
      </c>
      <c r="AC14" s="64">
        <v>0</v>
      </c>
      <c r="AD14" s="64">
        <f t="shared" ref="AD14:AD30" si="6">+AC14-AB14</f>
        <v>-2930264.5350000057</v>
      </c>
      <c r="AE14" s="137">
        <f t="shared" ref="AE14:AE29" si="7">AE13+1</f>
        <v>2</v>
      </c>
      <c r="AF14" s="518" t="s">
        <v>342</v>
      </c>
      <c r="AG14" s="19">
        <v>2532527.2133333334</v>
      </c>
      <c r="AH14" s="19">
        <v>7815669.9016000014</v>
      </c>
      <c r="AI14" s="19">
        <f>AH14-AG14</f>
        <v>5283142.6882666685</v>
      </c>
      <c r="AJ14" s="449">
        <f t="shared" ref="AJ14:AJ29" si="8">+AJ13+1</f>
        <v>2</v>
      </c>
      <c r="AK14" s="332" t="s">
        <v>349</v>
      </c>
      <c r="AL14" s="278"/>
      <c r="AM14" s="278"/>
      <c r="AN14" s="278"/>
      <c r="AO14" s="449">
        <f t="shared" ref="AO14:AO39" si="9">+AO13+1</f>
        <v>2</v>
      </c>
      <c r="AP14" s="143" t="s">
        <v>342</v>
      </c>
      <c r="AQ14" s="462">
        <v>21985164.197500002</v>
      </c>
      <c r="AR14" s="462">
        <v>0</v>
      </c>
      <c r="AS14" s="462">
        <f>AR14-AQ14</f>
        <v>-21985164.197500002</v>
      </c>
      <c r="AT14" s="1">
        <f>AT13+1</f>
        <v>2</v>
      </c>
      <c r="AU14" s="332" t="s">
        <v>349</v>
      </c>
      <c r="AV14" s="278"/>
      <c r="AW14" s="278"/>
      <c r="AX14" s="278"/>
      <c r="AY14" s="1">
        <f>+AY13+1</f>
        <v>2</v>
      </c>
      <c r="AZ14" s="487" t="s">
        <v>635</v>
      </c>
      <c r="BA14" s="525">
        <v>59841513.397916675</v>
      </c>
      <c r="BB14" s="524">
        <v>59343051.710000001</v>
      </c>
      <c r="BC14" s="524">
        <f>BB14-BA14</f>
        <v>-498461.68791667372</v>
      </c>
      <c r="BD14" s="416">
        <f t="shared" ref="BD14:BD24" si="10">BD13+1</f>
        <v>2</v>
      </c>
      <c r="BE14" s="142" t="s">
        <v>634</v>
      </c>
      <c r="BF14" s="43">
        <v>-101559498.97984974</v>
      </c>
      <c r="BG14" s="43">
        <v>-31919884</v>
      </c>
      <c r="BH14" s="166">
        <f>BG14-BF14</f>
        <v>69639614.979849741</v>
      </c>
      <c r="BI14" s="416">
        <f t="shared" ref="BI14:BI45" si="11">+BI13+1</f>
        <v>2</v>
      </c>
      <c r="BJ14" s="269" t="s">
        <v>633</v>
      </c>
      <c r="BK14" s="423" t="s">
        <v>632</v>
      </c>
      <c r="BL14" s="523">
        <v>3.6321942459646706E-2</v>
      </c>
      <c r="BM14" s="151"/>
      <c r="BN14" s="1"/>
      <c r="BP14" s="1"/>
      <c r="BQ14" s="1"/>
      <c r="BR14" s="1"/>
      <c r="BS14" s="1"/>
      <c r="BT14" s="1"/>
      <c r="BU14" s="1"/>
      <c r="BV14" s="1"/>
      <c r="BW14" s="1"/>
      <c r="BX14" s="1"/>
      <c r="CD14" s="224"/>
      <c r="CE14" s="224"/>
      <c r="CF14" s="224"/>
      <c r="CG14" s="224"/>
    </row>
    <row r="15" spans="1:85" s="3" customFormat="1" ht="15.75" thickBot="1">
      <c r="A15" s="9">
        <f t="shared" si="1"/>
        <v>3</v>
      </c>
      <c r="B15" s="517" t="s">
        <v>631</v>
      </c>
      <c r="C15" s="41">
        <v>149756871.78999999</v>
      </c>
      <c r="D15" s="420">
        <v>127019674.77452219</v>
      </c>
      <c r="E15" s="420">
        <f t="shared" si="2"/>
        <v>-22737197.015477806</v>
      </c>
      <c r="F15" s="9">
        <f t="shared" si="0"/>
        <v>3</v>
      </c>
      <c r="G15" s="151" t="s">
        <v>630</v>
      </c>
      <c r="H15" s="354"/>
      <c r="I15" s="354">
        <v>1.4999999999999999E-4</v>
      </c>
      <c r="K15" s="9">
        <f t="shared" si="3"/>
        <v>3</v>
      </c>
      <c r="L15" s="522" t="s">
        <v>342</v>
      </c>
      <c r="M15" s="19">
        <v>4539303</v>
      </c>
      <c r="N15" s="64">
        <v>0</v>
      </c>
      <c r="O15" s="64">
        <f>+N15-M15</f>
        <v>-4539303</v>
      </c>
      <c r="P15" s="9">
        <f t="shared" si="4"/>
        <v>3</v>
      </c>
      <c r="Q15" s="74" t="s">
        <v>272</v>
      </c>
      <c r="R15" s="28">
        <f>SUM(R13:R14)</f>
        <v>-64111667.629999898</v>
      </c>
      <c r="S15" s="122">
        <f>SUM(S13:S14)</f>
        <v>0</v>
      </c>
      <c r="T15" s="122">
        <f>SUM(T13:T14)</f>
        <v>64111667.629999898</v>
      </c>
      <c r="U15" s="9">
        <f t="shared" si="5"/>
        <v>3</v>
      </c>
      <c r="V15" s="503" t="s">
        <v>629</v>
      </c>
      <c r="W15" s="521">
        <v>146577.86000000002</v>
      </c>
      <c r="X15" s="521">
        <v>9324412.6900000013</v>
      </c>
      <c r="Y15" s="346">
        <f t="shared" ref="Y15:Y20" si="12">SUM(W15+X15)</f>
        <v>9470990.5500000007</v>
      </c>
      <c r="Z15" s="9">
        <f t="shared" ref="Z15:Z46" si="13">+Z14+1</f>
        <v>3</v>
      </c>
      <c r="AA15" s="41" t="s">
        <v>477</v>
      </c>
      <c r="AB15" s="41">
        <v>-658518.54083333327</v>
      </c>
      <c r="AC15" s="41">
        <v>-88510.49771296572</v>
      </c>
      <c r="AD15" s="519">
        <f t="shared" si="6"/>
        <v>570008.04312036757</v>
      </c>
      <c r="AE15" s="137">
        <f t="shared" si="7"/>
        <v>3</v>
      </c>
      <c r="AF15" s="518" t="s">
        <v>329</v>
      </c>
      <c r="AG15" s="122">
        <v>-23967.255261935759</v>
      </c>
      <c r="AH15" s="122">
        <v>-746090.14322181221</v>
      </c>
      <c r="AI15" s="122">
        <f>AH15-AG15</f>
        <v>-722122.88795987645</v>
      </c>
      <c r="AJ15" s="449">
        <f t="shared" si="8"/>
        <v>3</v>
      </c>
      <c r="AK15" s="281" t="s">
        <v>342</v>
      </c>
      <c r="AL15" s="323">
        <v>0</v>
      </c>
      <c r="AM15" s="322">
        <v>0</v>
      </c>
      <c r="AN15" s="322">
        <f>AM15-AL15</f>
        <v>0</v>
      </c>
      <c r="AO15" s="449">
        <f t="shared" si="9"/>
        <v>3</v>
      </c>
      <c r="AP15" s="143" t="s">
        <v>329</v>
      </c>
      <c r="AQ15" s="451">
        <v>-4782184.9428318273</v>
      </c>
      <c r="AR15" s="451">
        <v>17053554.294432983</v>
      </c>
      <c r="AS15" s="451">
        <f>AR15-AQ15</f>
        <v>21835739.237264812</v>
      </c>
      <c r="AT15" s="1">
        <f>AT14+1</f>
        <v>3</v>
      </c>
      <c r="AU15" s="281" t="s">
        <v>342</v>
      </c>
      <c r="AV15" s="323">
        <v>0</v>
      </c>
      <c r="AW15" s="323">
        <v>24765516.030000001</v>
      </c>
      <c r="AX15" s="323">
        <v>24765516.030000001</v>
      </c>
      <c r="AY15" s="1">
        <f t="shared" ref="AY15:AY29" si="14">AY14+1</f>
        <v>3</v>
      </c>
      <c r="AZ15" s="487" t="s">
        <v>628</v>
      </c>
      <c r="BA15" s="471">
        <v>0</v>
      </c>
      <c r="BB15" s="471">
        <v>18825.34</v>
      </c>
      <c r="BC15" s="471">
        <f>BB15-BA15</f>
        <v>18825.34</v>
      </c>
      <c r="BD15" s="416">
        <f t="shared" si="10"/>
        <v>3</v>
      </c>
      <c r="BE15" s="501" t="s">
        <v>627</v>
      </c>
      <c r="BF15" s="132">
        <f>SUM(BF14:BF14)</f>
        <v>-101559498.97984974</v>
      </c>
      <c r="BG15" s="132">
        <f>SUM(BG14:BG14)</f>
        <v>-31919884</v>
      </c>
      <c r="BH15" s="132">
        <f>SUM(BH14:BH14)</f>
        <v>69639614.979849741</v>
      </c>
      <c r="BI15" s="416">
        <f t="shared" si="11"/>
        <v>3</v>
      </c>
      <c r="BJ15" s="3" t="s">
        <v>626</v>
      </c>
      <c r="BP15" s="1"/>
      <c r="BQ15" s="1"/>
      <c r="BR15" s="1"/>
      <c r="BS15" s="1"/>
      <c r="BT15" s="1"/>
      <c r="BU15" s="1"/>
      <c r="BV15" s="1"/>
      <c r="BW15" s="1"/>
      <c r="BX15" s="1"/>
      <c r="CD15" s="224"/>
      <c r="CE15" s="224"/>
      <c r="CF15" s="224"/>
      <c r="CG15" s="224"/>
    </row>
    <row r="16" spans="1:85" s="3" customFormat="1" ht="15.75" thickTop="1">
      <c r="A16" s="9">
        <f t="shared" si="1"/>
        <v>4</v>
      </c>
      <c r="B16" s="517" t="s">
        <v>625</v>
      </c>
      <c r="C16" s="41">
        <v>523037995.81000006</v>
      </c>
      <c r="D16" s="420">
        <v>404481745.98367381</v>
      </c>
      <c r="E16" s="420">
        <f t="shared" si="2"/>
        <v>-118556249.82632625</v>
      </c>
      <c r="F16" s="9">
        <f t="shared" si="0"/>
        <v>4</v>
      </c>
      <c r="G16" s="423" t="s">
        <v>624</v>
      </c>
      <c r="H16" s="354"/>
      <c r="I16" s="520">
        <f>+I13*(1-I14)*I15</f>
        <v>601929.06951741572</v>
      </c>
      <c r="K16" s="9">
        <f t="shared" si="3"/>
        <v>4</v>
      </c>
      <c r="L16" s="508" t="s">
        <v>329</v>
      </c>
      <c r="M16" s="28">
        <v>-1578037</v>
      </c>
      <c r="N16" s="122"/>
      <c r="O16" s="122">
        <f>+N16-M16</f>
        <v>1578037</v>
      </c>
      <c r="P16" s="9">
        <f t="shared" si="4"/>
        <v>4</v>
      </c>
      <c r="Q16" s="49"/>
      <c r="R16" s="473"/>
      <c r="S16" s="473"/>
      <c r="T16" s="473"/>
      <c r="U16" s="9">
        <f t="shared" si="5"/>
        <v>4</v>
      </c>
      <c r="V16" s="503" t="s">
        <v>623</v>
      </c>
      <c r="W16" s="502">
        <v>345320.97947031242</v>
      </c>
      <c r="X16" s="502">
        <v>12020048.450529687</v>
      </c>
      <c r="Y16" s="324">
        <f t="shared" si="12"/>
        <v>12365369.43</v>
      </c>
      <c r="Z16" s="9">
        <f t="shared" si="13"/>
        <v>4</v>
      </c>
      <c r="AA16" s="41" t="s">
        <v>476</v>
      </c>
      <c r="AB16" s="41">
        <v>-902764.31833333336</v>
      </c>
      <c r="AC16" s="41">
        <v>-121339.24959547223</v>
      </c>
      <c r="AD16" s="519">
        <f t="shared" si="6"/>
        <v>781425.06873786112</v>
      </c>
      <c r="AE16" s="137">
        <f t="shared" si="7"/>
        <v>4</v>
      </c>
      <c r="AF16" s="518" t="s">
        <v>622</v>
      </c>
      <c r="AG16" s="122">
        <v>1602.450349846451</v>
      </c>
      <c r="AH16" s="122">
        <v>0</v>
      </c>
      <c r="AI16" s="122">
        <f>AH16-AG16</f>
        <v>-1602.450349846451</v>
      </c>
      <c r="AJ16" s="449">
        <f t="shared" si="8"/>
        <v>4</v>
      </c>
      <c r="AK16" s="281" t="s">
        <v>329</v>
      </c>
      <c r="AL16" s="122">
        <v>0</v>
      </c>
      <c r="AM16" s="122">
        <v>0</v>
      </c>
      <c r="AN16" s="122">
        <f>AM16-AL16</f>
        <v>0</v>
      </c>
      <c r="AO16" s="449">
        <f t="shared" si="9"/>
        <v>4</v>
      </c>
      <c r="AP16" s="143" t="s">
        <v>574</v>
      </c>
      <c r="AQ16" s="451">
        <v>-770444.58162956533</v>
      </c>
      <c r="AR16" s="451">
        <v>0</v>
      </c>
      <c r="AS16" s="451">
        <f>AR16-AQ16</f>
        <v>770444.58162956533</v>
      </c>
      <c r="AT16" s="1">
        <f>AT15+1</f>
        <v>4</v>
      </c>
      <c r="AU16" s="281" t="s">
        <v>329</v>
      </c>
      <c r="AV16" s="516">
        <v>0</v>
      </c>
      <c r="AW16" s="516">
        <v>-1572187.2608600797</v>
      </c>
      <c r="AX16" s="516">
        <v>-1572187.2608600797</v>
      </c>
      <c r="AY16" s="1">
        <f t="shared" si="14"/>
        <v>4</v>
      </c>
      <c r="AZ16" s="487" t="s">
        <v>621</v>
      </c>
      <c r="BA16" s="506">
        <v>0</v>
      </c>
      <c r="BB16" s="506">
        <v>26606.68</v>
      </c>
      <c r="BC16" s="506">
        <f>BB16-BA16</f>
        <v>26606.68</v>
      </c>
      <c r="BD16" s="416">
        <f t="shared" si="10"/>
        <v>4</v>
      </c>
      <c r="BE16" s="143"/>
      <c r="BF16" s="64"/>
      <c r="BG16" s="64"/>
      <c r="BH16" s="64"/>
      <c r="BI16" s="416">
        <f t="shared" si="11"/>
        <v>4</v>
      </c>
      <c r="BJ16" s="421" t="s">
        <v>620</v>
      </c>
      <c r="BN16" s="121"/>
      <c r="BO16" s="1"/>
      <c r="BP16" s="1"/>
      <c r="BQ16" s="1"/>
      <c r="BR16" s="1"/>
      <c r="BS16" s="1"/>
      <c r="BT16" s="1"/>
      <c r="BU16" s="1"/>
      <c r="BV16" s="1"/>
      <c r="BW16" s="1"/>
      <c r="BX16" s="1"/>
      <c r="CD16" s="224"/>
      <c r="CE16" s="224"/>
      <c r="CF16" s="224"/>
      <c r="CG16" s="224"/>
    </row>
    <row r="17" spans="1:85" ht="15">
      <c r="A17" s="9">
        <f t="shared" si="1"/>
        <v>5</v>
      </c>
      <c r="B17" s="517" t="s">
        <v>619</v>
      </c>
      <c r="C17" s="41">
        <v>9308463.5600000005</v>
      </c>
      <c r="D17" s="41">
        <v>6811347.9685537536</v>
      </c>
      <c r="E17" s="41">
        <f t="shared" si="2"/>
        <v>-2497115.591446247</v>
      </c>
      <c r="F17" s="9">
        <f t="shared" si="0"/>
        <v>5</v>
      </c>
      <c r="G17" s="151"/>
      <c r="H17" s="354"/>
      <c r="I17" s="354"/>
      <c r="K17" s="9">
        <f t="shared" si="3"/>
        <v>5</v>
      </c>
      <c r="L17" s="190" t="s">
        <v>618</v>
      </c>
      <c r="M17" s="28">
        <v>-11978.689327298343</v>
      </c>
      <c r="N17" s="122"/>
      <c r="O17" s="122">
        <f>+N17-M17</f>
        <v>11978.689327298343</v>
      </c>
      <c r="P17" s="9">
        <f t="shared" si="4"/>
        <v>5</v>
      </c>
      <c r="Q17" s="49" t="s">
        <v>617</v>
      </c>
      <c r="R17" s="473"/>
      <c r="S17" s="473"/>
      <c r="T17" s="28">
        <f>-T15</f>
        <v>-64111667.629999898</v>
      </c>
      <c r="U17" s="9">
        <f t="shared" si="5"/>
        <v>5</v>
      </c>
      <c r="V17" s="503" t="s">
        <v>616</v>
      </c>
      <c r="W17" s="502">
        <v>168306.6472019369</v>
      </c>
      <c r="X17" s="502">
        <v>6580199.412798062</v>
      </c>
      <c r="Y17" s="324">
        <f t="shared" si="12"/>
        <v>6748506.0599999987</v>
      </c>
      <c r="Z17" s="9">
        <f t="shared" si="13"/>
        <v>5</v>
      </c>
      <c r="AA17" s="41" t="s">
        <v>858</v>
      </c>
      <c r="AB17" s="41">
        <v>16769498.08</v>
      </c>
      <c r="AC17" s="41">
        <v>12550110.290861849</v>
      </c>
      <c r="AD17" s="41">
        <f t="shared" si="6"/>
        <v>-4219387.7891381513</v>
      </c>
      <c r="AE17" s="137">
        <f t="shared" si="7"/>
        <v>5</v>
      </c>
      <c r="AF17" s="137" t="s">
        <v>615</v>
      </c>
      <c r="AG17" s="122">
        <v>-205321.18453019747</v>
      </c>
      <c r="AH17" s="122">
        <v>-1922512.3307887327</v>
      </c>
      <c r="AI17" s="122">
        <f>AH17-AG17</f>
        <v>-1717191.1462585353</v>
      </c>
      <c r="AJ17" s="449">
        <f t="shared" si="8"/>
        <v>5</v>
      </c>
      <c r="AK17" s="271" t="s">
        <v>282</v>
      </c>
      <c r="AL17" s="122">
        <v>0</v>
      </c>
      <c r="AM17" s="122">
        <v>0</v>
      </c>
      <c r="AN17" s="122">
        <f>AM17-AL17</f>
        <v>0</v>
      </c>
      <c r="AO17" s="449">
        <f t="shared" si="9"/>
        <v>5</v>
      </c>
      <c r="AP17" s="49" t="s">
        <v>569</v>
      </c>
      <c r="AQ17" s="451">
        <v>-1771037.4357740821</v>
      </c>
      <c r="AR17" s="451">
        <v>0</v>
      </c>
      <c r="AS17" s="451">
        <f>AR17-AQ17</f>
        <v>1771037.4357740821</v>
      </c>
      <c r="AT17" s="1">
        <f>AT16+1</f>
        <v>5</v>
      </c>
      <c r="AU17" s="271" t="s">
        <v>282</v>
      </c>
      <c r="AV17" s="516">
        <v>0</v>
      </c>
      <c r="AW17" s="516">
        <v>-4188738.7602319769</v>
      </c>
      <c r="AX17" s="516">
        <v>-4188738.7602319769</v>
      </c>
      <c r="AY17" s="1">
        <f t="shared" si="14"/>
        <v>5</v>
      </c>
      <c r="AZ17" s="487" t="s">
        <v>614</v>
      </c>
      <c r="BA17" s="471">
        <f>SUM(BA14:BA16)</f>
        <v>59841513.397916675</v>
      </c>
      <c r="BB17" s="470">
        <f>SUM(BB14:BB16)</f>
        <v>59388483.730000004</v>
      </c>
      <c r="BC17" s="470">
        <f>SUM(BC14:BC16)</f>
        <v>-453029.6679166737</v>
      </c>
      <c r="BD17" s="416">
        <f t="shared" si="10"/>
        <v>5</v>
      </c>
      <c r="BE17" s="143"/>
      <c r="BF17" s="64"/>
      <c r="BG17" s="64"/>
      <c r="BH17" s="64"/>
      <c r="BI17" s="416">
        <f t="shared" si="11"/>
        <v>5</v>
      </c>
      <c r="BJ17" s="49" t="s">
        <v>613</v>
      </c>
      <c r="BK17" s="515">
        <v>140926.45741654641</v>
      </c>
      <c r="BL17" s="515">
        <f>-BK17*$BL$13</f>
        <v>0</v>
      </c>
      <c r="BM17" s="515">
        <f>ROUND(+BL17*-$BM$11,0)</f>
        <v>0</v>
      </c>
      <c r="BN17" s="121"/>
    </row>
    <row r="18" spans="1:85" ht="15.75" thickBot="1">
      <c r="A18" s="9">
        <f t="shared" si="1"/>
        <v>6</v>
      </c>
      <c r="B18" s="164" t="s">
        <v>612</v>
      </c>
      <c r="C18" s="41">
        <v>113800193.22</v>
      </c>
      <c r="D18" s="420">
        <v>108794683.40084627</v>
      </c>
      <c r="E18" s="420">
        <f t="shared" si="2"/>
        <v>-5005509.8191537261</v>
      </c>
      <c r="F18" s="9">
        <f t="shared" si="0"/>
        <v>6</v>
      </c>
      <c r="G18" s="151" t="s">
        <v>611</v>
      </c>
      <c r="H18" s="354"/>
      <c r="I18" s="354">
        <v>2.0000000000000001E-4</v>
      </c>
      <c r="K18" s="9">
        <f t="shared" si="3"/>
        <v>6</v>
      </c>
      <c r="L18" s="508" t="s">
        <v>599</v>
      </c>
      <c r="M18" s="28">
        <v>-984138.515625</v>
      </c>
      <c r="N18" s="122"/>
      <c r="O18" s="122">
        <f>+N18-M18</f>
        <v>984138.515625</v>
      </c>
      <c r="P18" s="9">
        <f t="shared" si="4"/>
        <v>6</v>
      </c>
      <c r="Q18" s="49"/>
      <c r="R18" s="473"/>
      <c r="S18" s="131"/>
      <c r="U18" s="9">
        <f t="shared" si="5"/>
        <v>6</v>
      </c>
      <c r="V18" s="503" t="s">
        <v>610</v>
      </c>
      <c r="W18" s="502">
        <v>428007.16507628211</v>
      </c>
      <c r="X18" s="502">
        <v>12682042.714923715</v>
      </c>
      <c r="Y18" s="324">
        <f t="shared" si="12"/>
        <v>13110049.879999997</v>
      </c>
      <c r="Z18" s="9">
        <f t="shared" si="13"/>
        <v>6</v>
      </c>
      <c r="AA18" s="41" t="s">
        <v>859</v>
      </c>
      <c r="AB18" s="41">
        <v>96067432.909166694</v>
      </c>
      <c r="AC18" s="41">
        <v>82196760.579333305</v>
      </c>
      <c r="AD18" s="41">
        <f t="shared" si="6"/>
        <v>-13870672.329833388</v>
      </c>
      <c r="AE18" s="137">
        <f t="shared" si="7"/>
        <v>6</v>
      </c>
      <c r="AF18" s="137" t="s">
        <v>609</v>
      </c>
      <c r="AG18" s="122">
        <v>-560.85762244625778</v>
      </c>
      <c r="AH18" s="122">
        <v>0</v>
      </c>
      <c r="AI18" s="122">
        <f>AH18-AG18</f>
        <v>560.85762244625778</v>
      </c>
      <c r="AJ18" s="449">
        <f t="shared" si="8"/>
        <v>6</v>
      </c>
      <c r="AK18" s="245" t="s">
        <v>308</v>
      </c>
      <c r="AL18" s="475">
        <f>SUM(AL15:AL17)</f>
        <v>0</v>
      </c>
      <c r="AM18" s="475">
        <f>SUM(AM15:AM17)</f>
        <v>0</v>
      </c>
      <c r="AN18" s="475">
        <f>SUM(AN15:AN17)</f>
        <v>0</v>
      </c>
      <c r="AO18" s="449">
        <f t="shared" si="9"/>
        <v>6</v>
      </c>
      <c r="AP18" s="143" t="s">
        <v>567</v>
      </c>
      <c r="AQ18" s="451">
        <v>269655.60357034783</v>
      </c>
      <c r="AR18" s="451">
        <v>0</v>
      </c>
      <c r="AS18" s="451">
        <f>AR18-AQ18</f>
        <v>-269655.60357034783</v>
      </c>
      <c r="AT18" s="1">
        <f>AT17+1</f>
        <v>6</v>
      </c>
      <c r="AU18" s="245" t="s">
        <v>308</v>
      </c>
      <c r="AV18" s="514">
        <f>SUM(AV15:AV17)</f>
        <v>0</v>
      </c>
      <c r="AW18" s="514">
        <f>SUM(AW15:AW17)</f>
        <v>19004590.008907948</v>
      </c>
      <c r="AX18" s="514">
        <f>SUM(AX15:AX17)</f>
        <v>19004590.008907948</v>
      </c>
      <c r="AY18" s="1">
        <f t="shared" si="14"/>
        <v>6</v>
      </c>
      <c r="AZ18" s="487" t="s">
        <v>608</v>
      </c>
      <c r="BA18" s="471">
        <v>-37066402.04703182</v>
      </c>
      <c r="BB18" s="470">
        <v>-40429480.921691619</v>
      </c>
      <c r="BC18" s="470">
        <f>BB18-BA18</f>
        <v>-3363078.874659799</v>
      </c>
      <c r="BD18" s="416">
        <f t="shared" si="10"/>
        <v>6</v>
      </c>
      <c r="BE18" s="513" t="s">
        <v>607</v>
      </c>
      <c r="BF18" s="512"/>
      <c r="BG18" s="511"/>
      <c r="BH18" s="510"/>
      <c r="BI18" s="416">
        <f t="shared" si="11"/>
        <v>6</v>
      </c>
      <c r="BJ18" s="49" t="s">
        <v>606</v>
      </c>
      <c r="BK18" s="420">
        <v>337826.02625572123</v>
      </c>
      <c r="BL18" s="420">
        <f>-BK18*$BL$13</f>
        <v>0</v>
      </c>
      <c r="BM18" s="420">
        <f>ROUND(+BL18*-$BM$11,0)</f>
        <v>0</v>
      </c>
      <c r="BN18" s="121"/>
    </row>
    <row r="19" spans="1:85" ht="16.5" thickTop="1" thickBot="1">
      <c r="A19" s="9">
        <f t="shared" si="1"/>
        <v>7</v>
      </c>
      <c r="B19" s="146" t="s">
        <v>605</v>
      </c>
      <c r="C19" s="41">
        <v>-201125741.74000001</v>
      </c>
      <c r="D19" s="420">
        <v>-22046223.383484818</v>
      </c>
      <c r="E19" s="420">
        <f t="shared" si="2"/>
        <v>179079518.3565152</v>
      </c>
      <c r="F19" s="9">
        <f t="shared" si="0"/>
        <v>7</v>
      </c>
      <c r="G19" s="423" t="s">
        <v>604</v>
      </c>
      <c r="H19" s="354"/>
      <c r="I19" s="509">
        <f>+I18*I13</f>
        <v>844812.72914725018</v>
      </c>
      <c r="K19" s="9">
        <f t="shared" si="3"/>
        <v>7</v>
      </c>
      <c r="L19" s="508" t="s">
        <v>603</v>
      </c>
      <c r="M19" s="28">
        <v>4192.5412645544202</v>
      </c>
      <c r="N19" s="507"/>
      <c r="O19" s="122">
        <f>+N19-M19</f>
        <v>-4192.5412645544202</v>
      </c>
      <c r="P19" s="9">
        <f t="shared" si="4"/>
        <v>7</v>
      </c>
      <c r="Q19" s="49" t="s">
        <v>602</v>
      </c>
      <c r="R19" s="154">
        <v>0.35</v>
      </c>
      <c r="T19" s="71">
        <f>T17*R19</f>
        <v>-22439083.670499962</v>
      </c>
      <c r="U19" s="9">
        <f t="shared" si="5"/>
        <v>7</v>
      </c>
      <c r="V19" s="503" t="s">
        <v>601</v>
      </c>
      <c r="W19" s="502">
        <v>1550963.6913106842</v>
      </c>
      <c r="X19" s="502">
        <v>35262841.948689312</v>
      </c>
      <c r="Y19" s="324">
        <f t="shared" si="12"/>
        <v>36813805.639999993</v>
      </c>
      <c r="Z19" s="9">
        <f t="shared" si="13"/>
        <v>7</v>
      </c>
      <c r="AA19" s="41" t="s">
        <v>474</v>
      </c>
      <c r="AB19" s="41">
        <v>18500000</v>
      </c>
      <c r="AC19" s="41">
        <v>18500000</v>
      </c>
      <c r="AD19" s="41">
        <f t="shared" si="6"/>
        <v>0</v>
      </c>
      <c r="AE19" s="137">
        <f t="shared" si="7"/>
        <v>7</v>
      </c>
      <c r="AF19" s="137" t="s">
        <v>600</v>
      </c>
      <c r="AG19" s="475">
        <f>SUM(AG14:AG18)</f>
        <v>2304280.3662686003</v>
      </c>
      <c r="AH19" s="475">
        <f>SUM(AH14:AH18)</f>
        <v>5147067.4275894566</v>
      </c>
      <c r="AI19" s="475">
        <f>SUM(AI14:AI18)</f>
        <v>2842787.0613208562</v>
      </c>
      <c r="AJ19" s="449">
        <f t="shared" si="8"/>
        <v>7</v>
      </c>
      <c r="AK19" s="230"/>
      <c r="AL19" s="287"/>
      <c r="AM19" s="287"/>
      <c r="AN19" s="287"/>
      <c r="AO19" s="449">
        <f t="shared" si="9"/>
        <v>7</v>
      </c>
      <c r="AP19" s="143" t="s">
        <v>308</v>
      </c>
      <c r="AQ19" s="475">
        <f>SUM(AQ14:AQ18)</f>
        <v>14931152.840834877</v>
      </c>
      <c r="AR19" s="475">
        <f>SUM(AR14:AR18)</f>
        <v>17053554.294432983</v>
      </c>
      <c r="AS19" s="475">
        <f>SUM(AS14:AS18)</f>
        <v>2122401.45359811</v>
      </c>
      <c r="AT19" s="121"/>
      <c r="AU19" s="121"/>
      <c r="AV19" s="121"/>
      <c r="AW19" s="121"/>
      <c r="AX19" s="121"/>
      <c r="AY19" s="1">
        <f t="shared" si="14"/>
        <v>7</v>
      </c>
      <c r="AZ19" s="487" t="s">
        <v>599</v>
      </c>
      <c r="BA19" s="506">
        <v>-7971288.6979166651</v>
      </c>
      <c r="BB19" s="505">
        <v>-6619749.3382314919</v>
      </c>
      <c r="BC19" s="505">
        <f>BB19-BA19</f>
        <v>1351539.3596851733</v>
      </c>
      <c r="BD19" s="416">
        <f t="shared" si="10"/>
        <v>7</v>
      </c>
      <c r="BE19" s="504" t="s">
        <v>247</v>
      </c>
      <c r="BF19" s="43">
        <v>-3279780</v>
      </c>
      <c r="BG19" s="43">
        <v>-861936.66666666663</v>
      </c>
      <c r="BH19" s="166">
        <f>BG19-BF19</f>
        <v>2417843.3333333335</v>
      </c>
      <c r="BI19" s="416">
        <f t="shared" si="11"/>
        <v>7</v>
      </c>
      <c r="BJ19" s="49" t="s">
        <v>598</v>
      </c>
      <c r="BK19" s="420">
        <v>8206061.1260157973</v>
      </c>
      <c r="BL19" s="420">
        <f>-BK19*$BL$13</f>
        <v>0</v>
      </c>
      <c r="BM19" s="420">
        <f>ROUND(+BL19*-$BM$11,0)</f>
        <v>0</v>
      </c>
      <c r="BN19" s="121"/>
    </row>
    <row r="20" spans="1:85" ht="16.5" thickTop="1" thickBot="1">
      <c r="A20" s="9">
        <f t="shared" si="1"/>
        <v>8</v>
      </c>
      <c r="B20" s="146" t="s">
        <v>597</v>
      </c>
      <c r="C20" s="41">
        <v>18023677.969999999</v>
      </c>
      <c r="D20" s="420">
        <v>-16897672.722583361</v>
      </c>
      <c r="E20" s="420">
        <f t="shared" si="2"/>
        <v>-34921350.69258336</v>
      </c>
      <c r="F20" s="9">
        <f t="shared" si="0"/>
        <v>8</v>
      </c>
      <c r="G20" s="151"/>
      <c r="H20" s="354"/>
      <c r="I20" s="354"/>
      <c r="J20" s="354"/>
      <c r="K20" s="9">
        <f t="shared" si="3"/>
        <v>8</v>
      </c>
      <c r="L20" s="283" t="s">
        <v>596</v>
      </c>
      <c r="M20" s="134">
        <f>SUM(M15:M19)</f>
        <v>1969341.3363122563</v>
      </c>
      <c r="N20" s="134">
        <f>SUM(N15:N19)</f>
        <v>0</v>
      </c>
      <c r="O20" s="134">
        <f>SUM(O15:O19)</f>
        <v>-1969341.3363122563</v>
      </c>
      <c r="P20" s="9">
        <f t="shared" si="4"/>
        <v>8</v>
      </c>
      <c r="U20" s="9">
        <f t="shared" si="5"/>
        <v>8</v>
      </c>
      <c r="V20" s="503" t="s">
        <v>595</v>
      </c>
      <c r="W20" s="502">
        <v>1315344.0876007138</v>
      </c>
      <c r="X20" s="502">
        <v>32790234.202399284</v>
      </c>
      <c r="Y20" s="324">
        <f t="shared" si="12"/>
        <v>34105578.289999999</v>
      </c>
      <c r="Z20" s="9">
        <f t="shared" si="13"/>
        <v>8</v>
      </c>
      <c r="AA20" s="41" t="s">
        <v>473</v>
      </c>
      <c r="AB20" s="41">
        <v>1874999.78</v>
      </c>
      <c r="AC20" s="41">
        <v>750000.00000000524</v>
      </c>
      <c r="AD20" s="41">
        <f t="shared" si="6"/>
        <v>-1124999.7799999947</v>
      </c>
      <c r="AE20" s="137">
        <f t="shared" si="7"/>
        <v>8</v>
      </c>
      <c r="AF20" s="137"/>
      <c r="AG20" s="137"/>
      <c r="AH20" s="137"/>
      <c r="AI20" s="137"/>
      <c r="AJ20" s="449">
        <f t="shared" si="8"/>
        <v>8</v>
      </c>
      <c r="AK20" s="253" t="s">
        <v>594</v>
      </c>
      <c r="AL20" s="278"/>
      <c r="AM20" s="278"/>
      <c r="AN20" s="278"/>
      <c r="AO20" s="449">
        <f t="shared" si="9"/>
        <v>8</v>
      </c>
      <c r="AP20" s="468"/>
      <c r="AQ20" s="64"/>
      <c r="AR20" s="330"/>
      <c r="AS20" s="64"/>
      <c r="AT20" s="121"/>
      <c r="AU20" s="121"/>
      <c r="AV20" s="121"/>
      <c r="AW20" s="121"/>
      <c r="AX20" s="121"/>
      <c r="AY20" s="1">
        <f t="shared" si="14"/>
        <v>8</v>
      </c>
      <c r="AZ20" s="474" t="s">
        <v>593</v>
      </c>
      <c r="BA20" s="475">
        <f>SUM(BA17:BA19)</f>
        <v>14803822.652968191</v>
      </c>
      <c r="BB20" s="419">
        <f>SUM(BB17:BB19)</f>
        <v>12339253.470076893</v>
      </c>
      <c r="BC20" s="419">
        <f>SUM(BC17:BC19)</f>
        <v>-2464569.1828912995</v>
      </c>
      <c r="BD20" s="416">
        <f t="shared" si="10"/>
        <v>8</v>
      </c>
      <c r="BE20" s="501" t="s">
        <v>592</v>
      </c>
      <c r="BF20" s="500">
        <f>SUM(BF19:BF19)</f>
        <v>-3279780</v>
      </c>
      <c r="BG20" s="500">
        <f>SUM(BG19:BG19)</f>
        <v>-861936.66666666663</v>
      </c>
      <c r="BH20" s="500">
        <f>SUM(BH19:BH19)</f>
        <v>2417843.3333333335</v>
      </c>
      <c r="BI20" s="416">
        <f t="shared" si="11"/>
        <v>8</v>
      </c>
      <c r="BJ20" s="49" t="s">
        <v>591</v>
      </c>
      <c r="BK20" s="41">
        <v>214071.82388560369</v>
      </c>
      <c r="BL20" s="41">
        <f>-BK20*$BL$13</f>
        <v>0</v>
      </c>
      <c r="BM20" s="41">
        <f>ROUND(+BL20*-$BM$11,0)</f>
        <v>0</v>
      </c>
      <c r="BN20" s="121"/>
    </row>
    <row r="21" spans="1:85" ht="16.5" thickTop="1" thickBot="1">
      <c r="A21" s="9">
        <f t="shared" si="1"/>
        <v>9</v>
      </c>
      <c r="E21" s="41">
        <f t="shared" si="2"/>
        <v>0</v>
      </c>
      <c r="F21" s="9">
        <f t="shared" si="0"/>
        <v>9</v>
      </c>
      <c r="G21" s="129" t="s">
        <v>590</v>
      </c>
      <c r="H21" s="494"/>
      <c r="I21" s="489"/>
      <c r="J21" s="499">
        <f>+I19+I16</f>
        <v>1446741.7986646658</v>
      </c>
      <c r="K21" s="9">
        <f t="shared" si="3"/>
        <v>9</v>
      </c>
      <c r="L21" s="250"/>
      <c r="M21" s="64"/>
      <c r="N21" s="64"/>
      <c r="O21" s="64"/>
      <c r="P21" s="9">
        <f t="shared" si="4"/>
        <v>9</v>
      </c>
      <c r="Q21" s="49" t="s">
        <v>158</v>
      </c>
      <c r="R21" s="154"/>
      <c r="S21" s="79"/>
      <c r="T21" s="132">
        <f>+T17-T19</f>
        <v>-41672583.95949994</v>
      </c>
      <c r="U21" s="9">
        <f t="shared" si="5"/>
        <v>9</v>
      </c>
      <c r="V21" s="498" t="s">
        <v>589</v>
      </c>
      <c r="W21" s="300">
        <f>SUM(W15:W20)</f>
        <v>3954520.4306599293</v>
      </c>
      <c r="X21" s="300">
        <f>SUM(X15:X20)</f>
        <v>108659779.41934006</v>
      </c>
      <c r="Y21" s="452">
        <f>SUM(Y15:Y20)</f>
        <v>112614299.84999999</v>
      </c>
      <c r="Z21" s="9">
        <f t="shared" si="13"/>
        <v>9</v>
      </c>
      <c r="AA21" s="41" t="s">
        <v>860</v>
      </c>
      <c r="AB21" s="41">
        <v>180950.83</v>
      </c>
      <c r="AC21" s="41">
        <v>0</v>
      </c>
      <c r="AD21" s="41">
        <f t="shared" si="6"/>
        <v>-180950.83</v>
      </c>
      <c r="AE21" s="137">
        <f t="shared" si="7"/>
        <v>9</v>
      </c>
      <c r="AF21" s="3" t="s">
        <v>250</v>
      </c>
      <c r="AG21" s="159"/>
      <c r="AH21" s="159"/>
      <c r="AI21" s="159"/>
      <c r="AJ21" s="449">
        <f t="shared" si="8"/>
        <v>9</v>
      </c>
      <c r="AK21" s="268" t="s">
        <v>236</v>
      </c>
      <c r="AL21" s="166">
        <v>0</v>
      </c>
      <c r="AM21" s="166">
        <v>0</v>
      </c>
      <c r="AN21" s="166">
        <f>AM21-AL21</f>
        <v>0</v>
      </c>
      <c r="AO21" s="449">
        <f t="shared" si="9"/>
        <v>9</v>
      </c>
      <c r="AP21" s="468" t="s">
        <v>588</v>
      </c>
      <c r="AQ21" s="467"/>
      <c r="AR21" s="467"/>
      <c r="AS21" s="497"/>
      <c r="AT21" s="121"/>
      <c r="AU21" s="121"/>
      <c r="AV21" s="121"/>
      <c r="AW21" s="121"/>
      <c r="AX21" s="121"/>
      <c r="AY21" s="1">
        <f t="shared" si="14"/>
        <v>9</v>
      </c>
      <c r="AZ21" s="474"/>
      <c r="BA21" s="471"/>
      <c r="BB21" s="471"/>
      <c r="BC21" s="471"/>
      <c r="BD21" s="416">
        <f t="shared" si="10"/>
        <v>9</v>
      </c>
      <c r="BE21" s="496"/>
      <c r="BF21" s="495"/>
      <c r="BG21" s="495"/>
      <c r="BH21" s="495"/>
      <c r="BI21" s="416">
        <f t="shared" si="11"/>
        <v>9</v>
      </c>
      <c r="BJ21" s="49" t="s">
        <v>587</v>
      </c>
      <c r="BK21" s="41">
        <v>2763777.09</v>
      </c>
      <c r="BL21" s="41">
        <f>-BK21*$BL$13</f>
        <v>0</v>
      </c>
      <c r="BM21" s="41">
        <f>ROUND(+BL21*-$BM$11,0)</f>
        <v>0</v>
      </c>
      <c r="BN21" s="121"/>
    </row>
    <row r="22" spans="1:85" ht="15.75" thickTop="1">
      <c r="A22" s="9">
        <f t="shared" si="1"/>
        <v>10</v>
      </c>
      <c r="B22" s="164" t="s">
        <v>586</v>
      </c>
      <c r="C22" s="41">
        <v>125897437.02000001</v>
      </c>
      <c r="D22" s="41">
        <v>139005724.06146133</v>
      </c>
      <c r="E22" s="41">
        <f t="shared" si="2"/>
        <v>13108287.041461319</v>
      </c>
      <c r="F22" s="9">
        <f t="shared" si="0"/>
        <v>10</v>
      </c>
      <c r="G22" s="129" t="s">
        <v>585</v>
      </c>
      <c r="H22" s="494"/>
      <c r="I22" s="493"/>
      <c r="J22" s="69">
        <v>1540793.07</v>
      </c>
      <c r="K22" s="9">
        <f t="shared" si="3"/>
        <v>10</v>
      </c>
      <c r="L22" s="492" t="s">
        <v>250</v>
      </c>
      <c r="P22" s="9"/>
      <c r="Q22" s="305"/>
      <c r="R22" s="121"/>
      <c r="S22" s="35"/>
      <c r="U22" s="9">
        <f t="shared" si="5"/>
        <v>10</v>
      </c>
      <c r="W22" s="71"/>
      <c r="X22" s="71"/>
      <c r="Y22" s="71"/>
      <c r="Z22" s="9">
        <f t="shared" si="13"/>
        <v>10</v>
      </c>
      <c r="AA22" s="41" t="s">
        <v>861</v>
      </c>
      <c r="AB22" s="41">
        <v>68955037.953333333</v>
      </c>
      <c r="AC22" s="41">
        <v>60863794.047865629</v>
      </c>
      <c r="AD22" s="41">
        <f t="shared" si="6"/>
        <v>-8091243.9054677039</v>
      </c>
      <c r="AE22" s="137">
        <f t="shared" si="7"/>
        <v>10</v>
      </c>
      <c r="AF22" s="171" t="s">
        <v>584</v>
      </c>
      <c r="AG22" s="19">
        <v>123836.50843962499</v>
      </c>
      <c r="AH22" s="19">
        <v>340033.97615332442</v>
      </c>
      <c r="AI22" s="19">
        <f>+AH22-AG22</f>
        <v>216197.46771369944</v>
      </c>
      <c r="AJ22" s="449">
        <f t="shared" si="8"/>
        <v>10</v>
      </c>
      <c r="AK22" s="234" t="s">
        <v>198</v>
      </c>
      <c r="AL22" s="262">
        <f>SUM(AL21:AL21)</f>
        <v>0</v>
      </c>
      <c r="AM22" s="262">
        <f>SUM(AM21:AM21)</f>
        <v>0</v>
      </c>
      <c r="AN22" s="262">
        <f>SUM(AN21:AN21)</f>
        <v>0</v>
      </c>
      <c r="AO22" s="449">
        <f t="shared" si="9"/>
        <v>10</v>
      </c>
      <c r="AP22" s="143" t="s">
        <v>342</v>
      </c>
      <c r="AQ22" s="462">
        <v>3134072.5099999993</v>
      </c>
      <c r="AR22" s="462">
        <v>25072580.079999987</v>
      </c>
      <c r="AS22" s="462">
        <f>AR22-AQ22</f>
        <v>21938507.569999989</v>
      </c>
      <c r="AT22" s="121"/>
      <c r="AU22" s="121"/>
      <c r="AV22" s="121"/>
      <c r="AW22" s="121"/>
      <c r="AX22" s="121"/>
      <c r="AY22" s="1">
        <f t="shared" si="14"/>
        <v>10</v>
      </c>
      <c r="AZ22" s="491" t="s">
        <v>583</v>
      </c>
      <c r="BA22" s="471"/>
      <c r="BB22" s="471"/>
      <c r="BC22" s="471"/>
      <c r="BD22" s="416">
        <f t="shared" si="10"/>
        <v>10</v>
      </c>
      <c r="BE22" s="213" t="s">
        <v>159</v>
      </c>
      <c r="BF22" s="222">
        <v>0.35</v>
      </c>
      <c r="BG22" s="212"/>
      <c r="BH22" s="221">
        <f>-BH20*BF22</f>
        <v>-846245.16666666663</v>
      </c>
      <c r="BI22" s="416">
        <f t="shared" si="11"/>
        <v>10</v>
      </c>
      <c r="BJ22" s="129" t="s">
        <v>582</v>
      </c>
      <c r="BK22" s="480">
        <f>SUM(BK17:BK21)</f>
        <v>11662662.523573667</v>
      </c>
      <c r="BL22" s="480">
        <f>SUM(BL17:BL21)</f>
        <v>0</v>
      </c>
      <c r="BM22" s="480">
        <f>SUM(BM17:BM21)</f>
        <v>0</v>
      </c>
      <c r="CD22" s="49"/>
      <c r="CE22" s="473"/>
      <c r="CF22" s="473"/>
      <c r="CG22" s="473"/>
    </row>
    <row r="23" spans="1:85" ht="15.75" thickBot="1">
      <c r="A23" s="9">
        <f t="shared" si="1"/>
        <v>11</v>
      </c>
      <c r="B23" s="146" t="s">
        <v>581</v>
      </c>
      <c r="C23" s="41">
        <v>662134.87</v>
      </c>
      <c r="D23" s="41">
        <v>662134.87</v>
      </c>
      <c r="E23" s="41">
        <f t="shared" si="2"/>
        <v>0</v>
      </c>
      <c r="F23" s="9">
        <f t="shared" si="0"/>
        <v>11</v>
      </c>
      <c r="G23" s="129" t="s">
        <v>160</v>
      </c>
      <c r="H23" s="490"/>
      <c r="I23" s="489"/>
      <c r="J23" s="488">
        <f>J22-J21</f>
        <v>94051.271335334284</v>
      </c>
      <c r="K23" s="9">
        <f t="shared" si="3"/>
        <v>11</v>
      </c>
      <c r="L23" s="203" t="s">
        <v>236</v>
      </c>
      <c r="M23" s="19">
        <v>188181.00000000003</v>
      </c>
      <c r="N23" s="64">
        <v>0</v>
      </c>
      <c r="O23" s="64">
        <f>N23-M23</f>
        <v>-188181.00000000003</v>
      </c>
      <c r="P23" s="129"/>
      <c r="Q23" s="305"/>
      <c r="R23" s="1"/>
      <c r="S23" s="35"/>
      <c r="T23" s="35"/>
      <c r="U23" s="9">
        <f t="shared" si="5"/>
        <v>11</v>
      </c>
      <c r="V23" s="3" t="s">
        <v>580</v>
      </c>
      <c r="W23" s="71">
        <f>W21/6</f>
        <v>659086.73844332155</v>
      </c>
      <c r="X23" s="71">
        <f>X21/6</f>
        <v>18109963.236556675</v>
      </c>
      <c r="Y23" s="122">
        <f>+Y21/6</f>
        <v>18769049.974999998</v>
      </c>
      <c r="Z23" s="9">
        <f t="shared" si="13"/>
        <v>11</v>
      </c>
      <c r="AA23" s="41" t="s">
        <v>862</v>
      </c>
      <c r="AB23" s="41">
        <v>9472052.8500000015</v>
      </c>
      <c r="AC23" s="41">
        <v>8466701.2744743638</v>
      </c>
      <c r="AD23" s="41">
        <f t="shared" si="6"/>
        <v>-1005351.5755256377</v>
      </c>
      <c r="AE23" s="137">
        <f t="shared" si="7"/>
        <v>11</v>
      </c>
      <c r="AF23" s="250" t="s">
        <v>579</v>
      </c>
      <c r="AG23" s="41">
        <v>-7633.7978685983253</v>
      </c>
      <c r="AH23" s="41">
        <v>0</v>
      </c>
      <c r="AI23" s="41">
        <f>AH23-AG23</f>
        <v>7633.7978685983253</v>
      </c>
      <c r="AJ23" s="449">
        <f t="shared" si="8"/>
        <v>11</v>
      </c>
      <c r="AK23" s="234"/>
      <c r="AL23" s="229"/>
      <c r="AM23" s="229"/>
      <c r="AN23" s="229"/>
      <c r="AO23" s="449">
        <f t="shared" si="9"/>
        <v>11</v>
      </c>
      <c r="AP23" s="143" t="s">
        <v>329</v>
      </c>
      <c r="AQ23" s="451">
        <v>-3364.9770921440963</v>
      </c>
      <c r="AR23" s="451">
        <v>-1607188.8953450497</v>
      </c>
      <c r="AS23" s="451">
        <f>AR23-AQ23</f>
        <v>-1603823.9182529056</v>
      </c>
      <c r="AT23" s="121"/>
      <c r="AU23" s="121"/>
      <c r="AV23" s="121"/>
      <c r="AW23" s="121"/>
      <c r="AX23" s="121"/>
      <c r="AY23" s="1">
        <f t="shared" si="14"/>
        <v>11</v>
      </c>
      <c r="AZ23" s="487" t="s">
        <v>578</v>
      </c>
      <c r="BA23" s="486">
        <v>1494701.7220710218</v>
      </c>
      <c r="BB23" s="485">
        <v>1494701.7220710218</v>
      </c>
      <c r="BC23" s="485">
        <f>BB23-BA23</f>
        <v>0</v>
      </c>
      <c r="BD23" s="416">
        <f t="shared" si="10"/>
        <v>11</v>
      </c>
      <c r="BE23" s="213" t="s">
        <v>158</v>
      </c>
      <c r="BF23" s="212"/>
      <c r="BG23" s="212"/>
      <c r="BH23" s="211">
        <f>-BH20-BH22</f>
        <v>-1571598.166666667</v>
      </c>
      <c r="BI23" s="416">
        <f t="shared" si="11"/>
        <v>11</v>
      </c>
      <c r="BJ23" s="129"/>
      <c r="BK23" s="65"/>
      <c r="BL23" s="65"/>
      <c r="BM23" s="65"/>
      <c r="CD23" s="49"/>
      <c r="CE23" s="473"/>
      <c r="CF23" s="473"/>
      <c r="CG23" s="473"/>
    </row>
    <row r="24" spans="1:85" ht="15.75" thickTop="1">
      <c r="A24" s="9">
        <f t="shared" si="1"/>
        <v>12</v>
      </c>
      <c r="B24" s="146" t="s">
        <v>577</v>
      </c>
      <c r="C24" s="41">
        <v>-8228548.5899999999</v>
      </c>
      <c r="D24" s="41">
        <v>-9944078.2818932347</v>
      </c>
      <c r="E24" s="41">
        <f t="shared" si="2"/>
        <v>-1715529.6918932348</v>
      </c>
      <c r="F24" s="9">
        <f t="shared" si="0"/>
        <v>12</v>
      </c>
      <c r="G24" s="151"/>
      <c r="H24" s="484"/>
      <c r="I24" s="484" t="s">
        <v>15</v>
      </c>
      <c r="J24" s="484" t="s">
        <v>15</v>
      </c>
      <c r="K24" s="9">
        <f t="shared" si="3"/>
        <v>12</v>
      </c>
      <c r="L24" s="190" t="s">
        <v>576</v>
      </c>
      <c r="M24" s="28">
        <v>23957.378654596687</v>
      </c>
      <c r="N24" s="28"/>
      <c r="O24" s="28">
        <f>N24-M24</f>
        <v>-23957.378654596687</v>
      </c>
      <c r="P24" s="9"/>
      <c r="Q24" s="305"/>
      <c r="R24" s="35"/>
      <c r="S24" s="35"/>
      <c r="T24" s="35"/>
      <c r="U24" s="9">
        <f t="shared" si="5"/>
        <v>12</v>
      </c>
      <c r="W24" s="71"/>
      <c r="X24" s="71"/>
      <c r="Y24" s="71"/>
      <c r="Z24" s="9">
        <f t="shared" si="13"/>
        <v>12</v>
      </c>
      <c r="AA24" s="41" t="s">
        <v>863</v>
      </c>
      <c r="AB24" s="41">
        <v>497611.72500000009</v>
      </c>
      <c r="AC24" s="41">
        <v>0.16838636322063394</v>
      </c>
      <c r="AD24" s="41">
        <f t="shared" si="6"/>
        <v>-497611.5566136369</v>
      </c>
      <c r="AE24" s="137">
        <f t="shared" si="7"/>
        <v>12</v>
      </c>
      <c r="AF24" s="171" t="s">
        <v>575</v>
      </c>
      <c r="AG24" s="148">
        <f>SUM(AG22:AG23)</f>
        <v>116202.71057102666</v>
      </c>
      <c r="AH24" s="148">
        <f>SUM(AH22:AH23)</f>
        <v>340033.97615332442</v>
      </c>
      <c r="AI24" s="148">
        <f>SUM(AI22:AI23)</f>
        <v>223831.26558229775</v>
      </c>
      <c r="AJ24" s="449">
        <f t="shared" si="8"/>
        <v>12</v>
      </c>
      <c r="AK24" s="253"/>
      <c r="AL24" s="229"/>
      <c r="AM24" s="229"/>
      <c r="AN24" s="229"/>
      <c r="AO24" s="449">
        <f t="shared" si="9"/>
        <v>12</v>
      </c>
      <c r="AP24" s="143" t="s">
        <v>574</v>
      </c>
      <c r="AQ24" s="451">
        <v>-109553.08143874648</v>
      </c>
      <c r="AR24" s="451">
        <v>0</v>
      </c>
      <c r="AS24" s="451">
        <f>AR24-AQ24</f>
        <v>109553.08143874648</v>
      </c>
      <c r="AT24" s="121"/>
      <c r="AU24" s="121"/>
      <c r="AV24" s="121"/>
      <c r="AW24" s="121"/>
      <c r="AX24" s="121"/>
      <c r="AY24" s="1">
        <f t="shared" si="14"/>
        <v>12</v>
      </c>
      <c r="AZ24" s="474" t="s">
        <v>573</v>
      </c>
      <c r="BA24" s="148">
        <f>SUM(BA23)</f>
        <v>1494701.7220710218</v>
      </c>
      <c r="BB24" s="240">
        <f>SUM(BB23)</f>
        <v>1494701.7220710218</v>
      </c>
      <c r="BC24" s="240">
        <f>SUM(BC23)</f>
        <v>0</v>
      </c>
      <c r="BD24" s="416">
        <f t="shared" si="10"/>
        <v>12</v>
      </c>
      <c r="BE24" s="483"/>
      <c r="BF24" s="482"/>
      <c r="BG24" s="482"/>
      <c r="BH24" s="482"/>
      <c r="BI24" s="416">
        <f t="shared" si="11"/>
        <v>12</v>
      </c>
      <c r="BJ24" s="461" t="s">
        <v>572</v>
      </c>
      <c r="BK24" s="151"/>
      <c r="BL24" s="151"/>
      <c r="BM24" s="151"/>
      <c r="BN24" s="123"/>
      <c r="CD24" s="49"/>
      <c r="CE24" s="473"/>
      <c r="CF24" s="473"/>
      <c r="CG24" s="473"/>
    </row>
    <row r="25" spans="1:85" ht="15">
      <c r="A25" s="9">
        <f t="shared" si="1"/>
        <v>13</v>
      </c>
      <c r="B25" s="146" t="s">
        <v>571</v>
      </c>
      <c r="C25" s="41"/>
      <c r="D25" s="41">
        <v>4779758.3617310878</v>
      </c>
      <c r="E25" s="41">
        <f t="shared" si="2"/>
        <v>4779758.3617310878</v>
      </c>
      <c r="F25" s="9">
        <f t="shared" si="0"/>
        <v>13</v>
      </c>
      <c r="G25" s="129" t="s">
        <v>269</v>
      </c>
      <c r="H25" s="185">
        <v>0.35</v>
      </c>
      <c r="I25" s="354"/>
      <c r="J25" s="249">
        <f>ROUND(J23*$H$25,0)</f>
        <v>32918</v>
      </c>
      <c r="K25" s="9">
        <f t="shared" si="3"/>
        <v>13</v>
      </c>
      <c r="L25" s="252" t="s">
        <v>211</v>
      </c>
      <c r="M25" s="65">
        <f>SUM(M23:M24)</f>
        <v>212138.37865459672</v>
      </c>
      <c r="N25" s="65">
        <f>SUM(N23:N24)</f>
        <v>0</v>
      </c>
      <c r="O25" s="65">
        <f>SUM(O23:O24)</f>
        <v>-212138.37865459672</v>
      </c>
      <c r="P25" s="9"/>
      <c r="Q25" s="305"/>
      <c r="R25" s="35"/>
      <c r="S25" s="481"/>
      <c r="T25" s="35"/>
      <c r="U25" s="9">
        <f t="shared" si="5"/>
        <v>13</v>
      </c>
      <c r="V25" s="129" t="s">
        <v>570</v>
      </c>
      <c r="W25" s="71"/>
      <c r="X25" s="71"/>
      <c r="Y25" s="71"/>
      <c r="Z25" s="9">
        <f t="shared" si="13"/>
        <v>13</v>
      </c>
      <c r="AA25" s="41" t="s">
        <v>864</v>
      </c>
      <c r="AB25" s="41">
        <v>1130665.8299999996</v>
      </c>
      <c r="AC25" s="41">
        <v>151971.71732166281</v>
      </c>
      <c r="AD25" s="41">
        <f t="shared" si="6"/>
        <v>-978694.11267833679</v>
      </c>
      <c r="AE25" s="137">
        <f t="shared" si="7"/>
        <v>13</v>
      </c>
      <c r="AF25" s="171"/>
      <c r="AG25" s="41"/>
      <c r="AH25" s="41"/>
      <c r="AI25" s="41"/>
      <c r="AJ25" s="449">
        <f t="shared" si="8"/>
        <v>13</v>
      </c>
      <c r="AK25" s="245"/>
      <c r="AL25" s="229"/>
      <c r="AM25" s="229"/>
      <c r="AN25" s="229"/>
      <c r="AO25" s="449">
        <f t="shared" si="9"/>
        <v>13</v>
      </c>
      <c r="AP25" s="49" t="s">
        <v>569</v>
      </c>
      <c r="AQ25" s="451">
        <v>-150563.60204358294</v>
      </c>
      <c r="AR25" s="451">
        <v>-4537903.8039487666</v>
      </c>
      <c r="AS25" s="451">
        <f>AR25-AQ25</f>
        <v>-4387340.2019051835</v>
      </c>
      <c r="AT25" s="121"/>
      <c r="AU25" s="121"/>
      <c r="AV25" s="121"/>
      <c r="AW25" s="121"/>
      <c r="AX25" s="121"/>
      <c r="AY25" s="1">
        <f t="shared" si="14"/>
        <v>13</v>
      </c>
      <c r="AZ25" s="474"/>
      <c r="BA25" s="471"/>
      <c r="BB25" s="471"/>
      <c r="BC25" s="471"/>
      <c r="BD25" s="416"/>
      <c r="BE25" s="121"/>
      <c r="BF25" s="121"/>
      <c r="BG25" s="121"/>
      <c r="BH25" s="121"/>
      <c r="BI25" s="416">
        <f t="shared" si="11"/>
        <v>13</v>
      </c>
      <c r="BJ25" s="49" t="s">
        <v>28</v>
      </c>
      <c r="BK25" s="42">
        <v>149765347.19094247</v>
      </c>
      <c r="BL25" s="41">
        <f>-BK25*$BL$13</f>
        <v>0</v>
      </c>
      <c r="BM25" s="41">
        <v>0</v>
      </c>
      <c r="BN25" s="3"/>
      <c r="CD25" s="49"/>
      <c r="CE25" s="49"/>
      <c r="CF25" s="49"/>
      <c r="CG25" s="473"/>
    </row>
    <row r="26" spans="1:85" ht="15.75" thickBot="1">
      <c r="A26" s="9">
        <f t="shared" si="1"/>
        <v>14</v>
      </c>
      <c r="B26" s="146" t="s">
        <v>198</v>
      </c>
      <c r="C26" s="65">
        <f>SUM(C14:C25)</f>
        <v>816378498.62</v>
      </c>
      <c r="D26" s="480">
        <f>SUM(D14:D25)</f>
        <v>820664929.08656335</v>
      </c>
      <c r="E26" s="480">
        <f>SUM(E14:E25)</f>
        <v>4286430.4665634166</v>
      </c>
      <c r="F26" s="9">
        <f t="shared" si="0"/>
        <v>14</v>
      </c>
      <c r="G26" s="129" t="s">
        <v>158</v>
      </c>
      <c r="H26" s="185"/>
      <c r="I26" s="479"/>
      <c r="J26" s="478">
        <f>J23-J25</f>
        <v>61133.271335334284</v>
      </c>
      <c r="K26" s="9">
        <f t="shared" si="3"/>
        <v>14</v>
      </c>
      <c r="L26" s="252"/>
      <c r="M26" s="122"/>
      <c r="N26" s="122"/>
      <c r="O26" s="122"/>
      <c r="P26" s="9"/>
      <c r="Q26" s="305"/>
      <c r="R26" s="35"/>
      <c r="S26" s="35"/>
      <c r="T26" s="35"/>
      <c r="U26" s="9">
        <f t="shared" si="5"/>
        <v>14</v>
      </c>
      <c r="V26" s="477" t="s">
        <v>568</v>
      </c>
      <c r="W26" s="136">
        <v>506068.88000000006</v>
      </c>
      <c r="X26" s="136">
        <v>10553488.410000002</v>
      </c>
      <c r="Y26" s="136">
        <f>W26+X26</f>
        <v>11059557.290000003</v>
      </c>
      <c r="Z26" s="9">
        <f t="shared" si="13"/>
        <v>14</v>
      </c>
      <c r="AA26" s="41" t="s">
        <v>865</v>
      </c>
      <c r="AB26" s="41">
        <v>4439919.72</v>
      </c>
      <c r="AC26" s="41">
        <v>596763.95810137875</v>
      </c>
      <c r="AD26" s="41">
        <f t="shared" si="6"/>
        <v>-3843155.761898621</v>
      </c>
      <c r="AE26" s="137">
        <f t="shared" si="7"/>
        <v>14</v>
      </c>
      <c r="AF26" s="171" t="s">
        <v>211</v>
      </c>
      <c r="AG26" s="41"/>
      <c r="AH26" s="41"/>
      <c r="AI26" s="122">
        <f>AI24</f>
        <v>223831.26558229775</v>
      </c>
      <c r="AJ26" s="449">
        <f t="shared" si="8"/>
        <v>14</v>
      </c>
      <c r="AK26" s="234" t="s">
        <v>198</v>
      </c>
      <c r="AL26" s="229">
        <f>+AL22</f>
        <v>0</v>
      </c>
      <c r="AM26" s="229">
        <f>+AM22</f>
        <v>0</v>
      </c>
      <c r="AN26" s="229">
        <f>+AN22</f>
        <v>0</v>
      </c>
      <c r="AO26" s="449">
        <f t="shared" si="9"/>
        <v>14</v>
      </c>
      <c r="AP26" s="143" t="s">
        <v>567</v>
      </c>
      <c r="AQ26" s="451">
        <v>38343.578503561264</v>
      </c>
      <c r="AR26" s="451">
        <v>0</v>
      </c>
      <c r="AS26" s="451">
        <f>AR26-AQ26</f>
        <v>-38343.578503561264</v>
      </c>
      <c r="AT26" s="121"/>
      <c r="AU26" s="121"/>
      <c r="AV26" s="121"/>
      <c r="AW26" s="121"/>
      <c r="AX26" s="121"/>
      <c r="AY26" s="1">
        <f t="shared" si="14"/>
        <v>14</v>
      </c>
      <c r="AZ26" s="476" t="s">
        <v>566</v>
      </c>
      <c r="BA26" s="471"/>
      <c r="BB26" s="471"/>
      <c r="BC26" s="470">
        <f>BC24</f>
        <v>0</v>
      </c>
      <c r="BD26" s="121"/>
      <c r="BE26" s="121"/>
      <c r="BF26" s="121"/>
      <c r="BG26" s="121"/>
      <c r="BH26" s="121"/>
      <c r="BI26" s="416">
        <f t="shared" si="11"/>
        <v>14</v>
      </c>
      <c r="BJ26" s="49" t="s">
        <v>565</v>
      </c>
      <c r="BK26" s="42">
        <f>BG19</f>
        <v>-861936.66666666663</v>
      </c>
      <c r="BL26" s="41">
        <f>-BK26*$BL$13</f>
        <v>0</v>
      </c>
      <c r="BM26" s="41">
        <f>ROUND(+BL26*-$BM$11,0)</f>
        <v>0</v>
      </c>
      <c r="BN26" s="3"/>
      <c r="CD26" s="49"/>
      <c r="CE26" s="49"/>
      <c r="CF26" s="49"/>
      <c r="CG26" s="473"/>
    </row>
    <row r="27" spans="1:85" ht="16.5" thickTop="1" thickBot="1">
      <c r="A27" s="9">
        <f t="shared" si="1"/>
        <v>15</v>
      </c>
      <c r="F27" s="9"/>
      <c r="K27" s="9">
        <f t="shared" si="3"/>
        <v>15</v>
      </c>
      <c r="L27" s="129" t="s">
        <v>159</v>
      </c>
      <c r="M27" s="35"/>
      <c r="N27" s="298">
        <v>0.35</v>
      </c>
      <c r="O27" s="69">
        <f>ROUND(-O25*$N$27,0)</f>
        <v>74248</v>
      </c>
      <c r="P27" s="9"/>
      <c r="R27" s="35"/>
      <c r="S27" s="122"/>
      <c r="T27" s="122"/>
      <c r="U27" s="9">
        <f t="shared" si="5"/>
        <v>15</v>
      </c>
      <c r="W27" s="71"/>
      <c r="X27" s="71"/>
      <c r="Y27" s="71"/>
      <c r="Z27" s="9">
        <f t="shared" si="13"/>
        <v>15</v>
      </c>
      <c r="AA27" s="41" t="s">
        <v>866</v>
      </c>
      <c r="AB27" s="41">
        <v>10528816.84</v>
      </c>
      <c r="AC27" s="41">
        <v>3917699.507429909</v>
      </c>
      <c r="AD27" s="41">
        <f t="shared" si="6"/>
        <v>-6611117.3325700909</v>
      </c>
      <c r="AE27" s="137">
        <f t="shared" si="7"/>
        <v>15</v>
      </c>
      <c r="AF27" s="171"/>
      <c r="AG27" s="41"/>
      <c r="AH27" s="41"/>
      <c r="AI27" s="122"/>
      <c r="AJ27" s="449">
        <f t="shared" si="8"/>
        <v>15</v>
      </c>
      <c r="AK27" s="230"/>
      <c r="AL27" s="229"/>
      <c r="AM27" s="229"/>
      <c r="AN27" s="229"/>
      <c r="AO27" s="449">
        <f t="shared" si="9"/>
        <v>15</v>
      </c>
      <c r="AP27" s="143" t="s">
        <v>308</v>
      </c>
      <c r="AQ27" s="475">
        <f>SUM(AQ22:AQ26)</f>
        <v>2908934.4279290871</v>
      </c>
      <c r="AR27" s="475">
        <f>SUM(AR22:AR26)</f>
        <v>18927487.380706169</v>
      </c>
      <c r="AS27" s="475">
        <f>SUM(AS22:AS26)</f>
        <v>16018552.952777086</v>
      </c>
      <c r="AT27" s="121"/>
      <c r="AU27" s="121"/>
      <c r="AV27" s="121"/>
      <c r="AW27" s="121"/>
      <c r="AX27" s="121"/>
      <c r="AY27" s="1">
        <f t="shared" si="14"/>
        <v>15</v>
      </c>
      <c r="AZ27" s="474"/>
      <c r="BA27" s="471"/>
      <c r="BB27" s="471"/>
      <c r="BC27" s="471"/>
      <c r="BD27" s="121"/>
      <c r="BE27" s="121"/>
      <c r="BF27" s="121"/>
      <c r="BG27" s="121"/>
      <c r="BH27" s="121"/>
      <c r="BI27" s="416">
        <f t="shared" si="11"/>
        <v>15</v>
      </c>
      <c r="BJ27" s="49" t="s">
        <v>564</v>
      </c>
      <c r="BK27" s="41">
        <v>11818341.976000002</v>
      </c>
      <c r="BL27" s="41">
        <f>-BK27*$BL$13</f>
        <v>0</v>
      </c>
      <c r="BM27" s="41">
        <v>0</v>
      </c>
      <c r="BN27" s="3"/>
      <c r="CD27" s="49"/>
      <c r="CE27" s="49"/>
      <c r="CF27" s="49"/>
      <c r="CG27" s="473"/>
    </row>
    <row r="28" spans="1:85" ht="16.5" thickTop="1" thickBot="1">
      <c r="A28" s="9">
        <f t="shared" si="1"/>
        <v>16</v>
      </c>
      <c r="B28" s="146" t="s">
        <v>563</v>
      </c>
      <c r="C28" s="294">
        <f>-C26</f>
        <v>-816378498.62</v>
      </c>
      <c r="D28" s="472">
        <f>-D26</f>
        <v>-820664929.08656335</v>
      </c>
      <c r="E28" s="472">
        <f>-E26</f>
        <v>-4286430.4665634166</v>
      </c>
      <c r="F28" s="81"/>
      <c r="G28" s="106" t="s">
        <v>186</v>
      </c>
      <c r="I28" s="71"/>
      <c r="K28" s="9">
        <f t="shared" si="3"/>
        <v>16</v>
      </c>
      <c r="L28" s="129" t="s">
        <v>158</v>
      </c>
      <c r="M28" s="159"/>
      <c r="N28" s="159"/>
      <c r="O28" s="134">
        <f>-O25-O27</f>
        <v>137890.37865459672</v>
      </c>
      <c r="P28" s="9"/>
      <c r="Q28" s="305"/>
      <c r="R28" s="35"/>
      <c r="S28" s="35"/>
      <c r="T28" s="35"/>
      <c r="U28" s="9">
        <f t="shared" si="5"/>
        <v>16</v>
      </c>
      <c r="V28" s="210" t="s">
        <v>562</v>
      </c>
      <c r="W28" s="71">
        <f>W23-W26</f>
        <v>153017.85844332149</v>
      </c>
      <c r="X28" s="71">
        <f>X23-X26</f>
        <v>7556474.8265566733</v>
      </c>
      <c r="Y28" s="122">
        <f>Y23-Y26</f>
        <v>7709492.6849999949</v>
      </c>
      <c r="Z28" s="9">
        <f t="shared" si="13"/>
        <v>16</v>
      </c>
      <c r="AA28" s="41" t="s">
        <v>867</v>
      </c>
      <c r="AB28" s="41">
        <v>-806046.15000000014</v>
      </c>
      <c r="AC28" s="41">
        <v>-108339.16201768839</v>
      </c>
      <c r="AD28" s="41">
        <f t="shared" si="6"/>
        <v>697706.98798231175</v>
      </c>
      <c r="AE28" s="137">
        <f t="shared" si="7"/>
        <v>16</v>
      </c>
      <c r="AF28" s="171" t="s">
        <v>159</v>
      </c>
      <c r="AG28" s="41"/>
      <c r="AH28" s="154">
        <v>0.35</v>
      </c>
      <c r="AI28" s="136">
        <f>-AI26*AH28</f>
        <v>-78340.942953804202</v>
      </c>
      <c r="AJ28" s="449">
        <f t="shared" si="8"/>
        <v>16</v>
      </c>
      <c r="AK28" s="213" t="s">
        <v>159</v>
      </c>
      <c r="AL28" s="222">
        <v>0.35</v>
      </c>
      <c r="AM28" s="212"/>
      <c r="AN28" s="221">
        <f>-AN26*AL28</f>
        <v>0</v>
      </c>
      <c r="AO28" s="449">
        <f t="shared" si="9"/>
        <v>16</v>
      </c>
      <c r="AP28" s="448"/>
      <c r="AQ28" s="145"/>
      <c r="AR28" s="238"/>
      <c r="AS28" s="145"/>
      <c r="AT28" s="121"/>
      <c r="AU28" s="121"/>
      <c r="AV28" s="121"/>
      <c r="AW28" s="121"/>
      <c r="AX28" s="121"/>
      <c r="AY28" s="1">
        <f t="shared" si="14"/>
        <v>16</v>
      </c>
      <c r="AZ28" s="466" t="s">
        <v>561</v>
      </c>
      <c r="BA28" s="471"/>
      <c r="BB28" s="298">
        <v>0.35</v>
      </c>
      <c r="BC28" s="470">
        <f>-BC26*BB28</f>
        <v>0</v>
      </c>
      <c r="BD28" s="121"/>
      <c r="BE28" s="121"/>
      <c r="BF28" s="121"/>
      <c r="BG28" s="121"/>
      <c r="BH28" s="121"/>
      <c r="BI28" s="416">
        <f t="shared" si="11"/>
        <v>16</v>
      </c>
      <c r="BJ28" s="129" t="s">
        <v>560</v>
      </c>
      <c r="BK28" s="469">
        <f>SUM(BK25:BK27)</f>
        <v>160721752.50027582</v>
      </c>
      <c r="BL28" s="469">
        <f>SUM(BL25:BL27)</f>
        <v>0</v>
      </c>
      <c r="BM28" s="469">
        <f>SUM(BM25:BM27)</f>
        <v>0</v>
      </c>
      <c r="BN28" s="3"/>
      <c r="CD28" s="64"/>
      <c r="CE28" s="64"/>
      <c r="CF28" s="64"/>
      <c r="CG28" s="64"/>
    </row>
    <row r="29" spans="1:85" ht="16.5" thickTop="1" thickBot="1">
      <c r="A29" s="9">
        <f t="shared" si="1"/>
        <v>17</v>
      </c>
      <c r="F29" s="81"/>
      <c r="G29" s="9"/>
      <c r="H29" s="9"/>
      <c r="I29" s="168"/>
      <c r="L29" s="121"/>
      <c r="M29" s="121"/>
      <c r="N29" s="121"/>
      <c r="O29" s="121"/>
      <c r="P29" s="9"/>
      <c r="Q29" s="305"/>
      <c r="R29" s="35"/>
      <c r="S29" s="35"/>
      <c r="T29" s="35"/>
      <c r="U29" s="9">
        <f t="shared" si="5"/>
        <v>17</v>
      </c>
      <c r="W29" s="71"/>
      <c r="X29" s="71"/>
      <c r="Y29" s="71"/>
      <c r="Z29" s="9">
        <f t="shared" si="13"/>
        <v>17</v>
      </c>
      <c r="AA29" s="41" t="s">
        <v>868</v>
      </c>
      <c r="AB29" s="41">
        <v>-2784431.6500000004</v>
      </c>
      <c r="AC29" s="41">
        <v>-374251.50670083519</v>
      </c>
      <c r="AD29" s="41">
        <f t="shared" si="6"/>
        <v>2410180.1432991652</v>
      </c>
      <c r="AE29" s="137">
        <f t="shared" si="7"/>
        <v>17</v>
      </c>
      <c r="AF29" s="42" t="s">
        <v>158</v>
      </c>
      <c r="AI29" s="132">
        <f>-AI26-AI28</f>
        <v>-145490.32262849354</v>
      </c>
      <c r="AJ29" s="449">
        <f t="shared" si="8"/>
        <v>17</v>
      </c>
      <c r="AK29" s="213" t="s">
        <v>158</v>
      </c>
      <c r="AL29" s="212"/>
      <c r="AM29" s="212"/>
      <c r="AN29" s="211">
        <f>-AN26-AN28</f>
        <v>0</v>
      </c>
      <c r="AO29" s="449">
        <f t="shared" si="9"/>
        <v>17</v>
      </c>
      <c r="AP29" s="468" t="s">
        <v>559</v>
      </c>
      <c r="AQ29" s="467"/>
      <c r="AR29" s="467"/>
      <c r="AS29" s="467"/>
      <c r="AT29" s="121"/>
      <c r="AU29" s="121"/>
      <c r="AV29" s="121"/>
      <c r="AW29" s="121"/>
      <c r="AX29" s="121"/>
      <c r="AY29" s="1">
        <f t="shared" si="14"/>
        <v>17</v>
      </c>
      <c r="AZ29" s="466" t="s">
        <v>558</v>
      </c>
      <c r="BA29" s="465"/>
      <c r="BB29" s="465"/>
      <c r="BC29" s="464">
        <f>-BC26-BC28</f>
        <v>0</v>
      </c>
      <c r="BD29" s="121"/>
      <c r="BE29" s="121"/>
      <c r="BF29" s="121"/>
      <c r="BG29" s="121"/>
      <c r="BH29" s="121"/>
      <c r="BI29" s="416">
        <f t="shared" si="11"/>
        <v>17</v>
      </c>
      <c r="BJ29" s="151"/>
      <c r="BK29" s="65"/>
      <c r="BL29" s="65"/>
      <c r="BM29" s="65"/>
      <c r="BN29" s="121"/>
      <c r="CD29" s="3"/>
      <c r="CE29" s="3"/>
      <c r="CF29" s="3"/>
      <c r="CG29" s="3"/>
    </row>
    <row r="30" spans="1:85" ht="13.5" thickTop="1">
      <c r="A30" s="9">
        <f t="shared" si="1"/>
        <v>18</v>
      </c>
      <c r="B30" s="146" t="s">
        <v>557</v>
      </c>
      <c r="C30" s="463">
        <f>'EXHIBIT MCC-3r'!O15</f>
        <v>3.8733999999999998E-2</v>
      </c>
      <c r="D30" s="1"/>
      <c r="E30" s="41">
        <f>E24*C30</f>
        <v>-66449.327085792553</v>
      </c>
      <c r="F30" s="81"/>
      <c r="G30" s="9"/>
      <c r="H30" s="9"/>
      <c r="L30" s="121"/>
      <c r="M30" s="121"/>
      <c r="N30" s="121"/>
      <c r="O30" s="121"/>
      <c r="R30" s="71"/>
      <c r="S30" s="71"/>
      <c r="T30" s="71"/>
      <c r="U30" s="9">
        <f t="shared" si="5"/>
        <v>18</v>
      </c>
      <c r="V30" s="368" t="s">
        <v>556</v>
      </c>
      <c r="W30" s="351"/>
      <c r="X30" s="351"/>
      <c r="Y30" s="12" t="str">
        <f>Y1</f>
        <v>Exh. MCC-2r</v>
      </c>
      <c r="Z30" s="9">
        <f t="shared" si="13"/>
        <v>18</v>
      </c>
      <c r="AA30" s="41" t="s">
        <v>869</v>
      </c>
      <c r="AB30" s="41">
        <v>6319201.1350000016</v>
      </c>
      <c r="AC30" s="41">
        <v>1128003.9151666719</v>
      </c>
      <c r="AD30" s="41">
        <f t="shared" si="6"/>
        <v>-5191197.2198333293</v>
      </c>
      <c r="AE30" s="137"/>
      <c r="AF30" s="252"/>
      <c r="AH30" s="154"/>
      <c r="AI30" s="41"/>
      <c r="AJ30" s="449"/>
      <c r="AO30" s="449">
        <f t="shared" si="9"/>
        <v>18</v>
      </c>
      <c r="AP30" s="143" t="s">
        <v>555</v>
      </c>
      <c r="AQ30" s="462">
        <v>340770.04506125004</v>
      </c>
      <c r="AR30" s="462">
        <v>0</v>
      </c>
      <c r="AS30" s="462">
        <f>AR30-AQ30</f>
        <v>-340770.04506125004</v>
      </c>
      <c r="AT30" s="121"/>
      <c r="AU30" s="121"/>
      <c r="AV30" s="121"/>
      <c r="AW30" s="121"/>
      <c r="AX30" s="121"/>
      <c r="AY30" s="1"/>
      <c r="AZ30" s="121"/>
      <c r="BA30" s="121"/>
      <c r="BB30" s="121"/>
      <c r="BC30" s="121"/>
      <c r="BD30" s="121"/>
      <c r="BE30" s="121"/>
      <c r="BF30" s="121"/>
      <c r="BG30" s="121"/>
      <c r="BH30" s="121"/>
      <c r="BI30" s="416">
        <f t="shared" si="11"/>
        <v>18</v>
      </c>
      <c r="BJ30" s="461" t="s">
        <v>554</v>
      </c>
      <c r="BN30" s="121"/>
      <c r="CD30" s="3"/>
      <c r="CE30" s="3"/>
      <c r="CF30" s="3"/>
      <c r="CG30" s="3"/>
    </row>
    <row r="31" spans="1:85" ht="14.25" thickBot="1">
      <c r="A31" s="9">
        <f t="shared" si="1"/>
        <v>19</v>
      </c>
      <c r="B31" s="146" t="s">
        <v>160</v>
      </c>
      <c r="D31" s="1"/>
      <c r="E31" s="420">
        <f>+E28+E30</f>
        <v>-4352879.7936492097</v>
      </c>
      <c r="L31" s="121"/>
      <c r="M31" s="121"/>
      <c r="N31" s="121"/>
      <c r="O31" s="121"/>
      <c r="R31" s="71"/>
      <c r="S31" s="71"/>
      <c r="T31" s="71"/>
      <c r="U31" s="9">
        <f t="shared" si="5"/>
        <v>19</v>
      </c>
      <c r="V31" s="422"/>
      <c r="W31" s="351"/>
      <c r="X31" s="351"/>
      <c r="Y31" s="12" t="s">
        <v>553</v>
      </c>
      <c r="Z31" s="9">
        <f t="shared" si="13"/>
        <v>19</v>
      </c>
      <c r="AA31" s="146"/>
      <c r="AB31" s="41"/>
      <c r="AC31" s="41"/>
      <c r="AD31" s="41"/>
      <c r="AE31" s="137"/>
      <c r="AF31" s="129"/>
      <c r="AH31" s="154"/>
      <c r="AI31" s="41"/>
      <c r="AJ31" s="449"/>
      <c r="AO31" s="449">
        <f t="shared" si="9"/>
        <v>19</v>
      </c>
      <c r="AP31" s="143" t="s">
        <v>547</v>
      </c>
      <c r="AQ31" s="451">
        <v>1540889.1632591307</v>
      </c>
      <c r="AR31" s="451">
        <v>0</v>
      </c>
      <c r="AS31" s="451">
        <f>AR31-AQ31</f>
        <v>-1540889.1632591307</v>
      </c>
      <c r="AT31" s="121"/>
      <c r="AU31" s="121"/>
      <c r="AV31" s="121"/>
      <c r="AW31" s="121"/>
      <c r="AX31" s="121"/>
      <c r="AY31" s="1"/>
      <c r="AZ31" s="106" t="s">
        <v>186</v>
      </c>
      <c r="BA31" s="121"/>
      <c r="BB31" s="121"/>
      <c r="BC31" s="121"/>
      <c r="BD31" s="121"/>
      <c r="BE31" s="121"/>
      <c r="BF31" s="121"/>
      <c r="BG31" s="121"/>
      <c r="BH31" s="121"/>
      <c r="BI31" s="416">
        <f t="shared" si="11"/>
        <v>19</v>
      </c>
      <c r="BJ31" s="151" t="s">
        <v>552</v>
      </c>
      <c r="BK31" s="220">
        <f>+J21</f>
        <v>1446741.7986646658</v>
      </c>
      <c r="BL31" s="420">
        <f>-BK31*$BL$14</f>
        <v>-52548.472365063768</v>
      </c>
      <c r="BM31" s="459">
        <f>ROUND(+BL31*-$BM$11,0)</f>
        <v>18392</v>
      </c>
      <c r="BN31" s="121"/>
      <c r="CD31" s="460"/>
      <c r="CE31" s="460"/>
      <c r="CF31" s="460"/>
      <c r="CG31" s="460"/>
    </row>
    <row r="32" spans="1:85" ht="14.25" thickBot="1">
      <c r="A32" s="9">
        <f t="shared" si="1"/>
        <v>20</v>
      </c>
      <c r="B32" s="146" t="s">
        <v>159</v>
      </c>
      <c r="C32" s="154">
        <f>k_FITrate</f>
        <v>0.35</v>
      </c>
      <c r="D32" s="1"/>
      <c r="E32" s="420">
        <f>+C32*E31</f>
        <v>-1523507.9277772233</v>
      </c>
      <c r="J32" s="4"/>
      <c r="L32" s="121"/>
      <c r="M32" s="121"/>
      <c r="N32" s="121"/>
      <c r="O32" s="121"/>
      <c r="R32" s="71"/>
      <c r="S32" s="71"/>
      <c r="T32" s="71"/>
      <c r="U32" s="9">
        <f t="shared" si="5"/>
        <v>20</v>
      </c>
      <c r="V32" s="422" t="s">
        <v>551</v>
      </c>
      <c r="W32" s="422"/>
      <c r="X32" s="422"/>
      <c r="Y32" s="413">
        <f>Y4</f>
        <v>14.05</v>
      </c>
      <c r="Z32" s="9">
        <f t="shared" si="13"/>
        <v>20</v>
      </c>
      <c r="AA32" s="146"/>
      <c r="AB32" s="41"/>
      <c r="AC32" s="41"/>
      <c r="AD32" s="41"/>
      <c r="AE32" s="137"/>
      <c r="AF32" s="129"/>
      <c r="AH32" s="154"/>
      <c r="AI32" s="137"/>
      <c r="AJ32" s="448"/>
      <c r="AK32" s="151"/>
      <c r="AL32" s="212"/>
      <c r="AM32" s="212"/>
      <c r="AN32" s="212"/>
      <c r="AO32" s="449">
        <f t="shared" si="9"/>
        <v>20</v>
      </c>
      <c r="AP32" s="143" t="s">
        <v>550</v>
      </c>
      <c r="AQ32" s="451">
        <v>48455.670126874989</v>
      </c>
      <c r="AR32" s="451">
        <v>2145903.9723363491</v>
      </c>
      <c r="AS32" s="451">
        <f>AR32-AQ32</f>
        <v>2097448.3022094741</v>
      </c>
      <c r="AT32" s="121"/>
      <c r="AU32" s="121"/>
      <c r="AV32" s="121"/>
      <c r="AW32" s="121"/>
      <c r="AX32" s="121"/>
      <c r="AY32" s="1"/>
      <c r="AZ32" s="121"/>
      <c r="BA32" s="121"/>
      <c r="BB32" s="121"/>
      <c r="BC32" s="121"/>
      <c r="BD32" s="121"/>
      <c r="BE32" s="121"/>
      <c r="BF32" s="121"/>
      <c r="BG32" s="121"/>
      <c r="BH32" s="121"/>
      <c r="BI32" s="416">
        <f t="shared" si="11"/>
        <v>20</v>
      </c>
      <c r="BJ32" s="49" t="s">
        <v>252</v>
      </c>
      <c r="BK32" s="459">
        <v>2119540.3036357597</v>
      </c>
      <c r="BL32" s="420">
        <f>-BK32*$BL$13</f>
        <v>0</v>
      </c>
      <c r="BM32" s="459">
        <f>ROUND(+BL32*-$BM$11,0)</f>
        <v>0</v>
      </c>
      <c r="BN32" s="121"/>
    </row>
    <row r="33" spans="1:85" ht="16.5" customHeight="1" thickBot="1">
      <c r="A33" s="9">
        <f t="shared" si="1"/>
        <v>21</v>
      </c>
      <c r="B33" s="146" t="s">
        <v>158</v>
      </c>
      <c r="C33" s="1"/>
      <c r="D33" s="1"/>
      <c r="E33" s="419">
        <f>+E31-E32</f>
        <v>-2829371.8658719864</v>
      </c>
      <c r="J33" s="64"/>
      <c r="L33" s="121"/>
      <c r="M33" s="121"/>
      <c r="N33" s="121"/>
      <c r="O33" s="121"/>
      <c r="R33" s="71"/>
      <c r="S33" s="71"/>
      <c r="T33" s="71"/>
      <c r="U33" s="9">
        <f t="shared" si="5"/>
        <v>21</v>
      </c>
      <c r="V33" s="453" t="s">
        <v>549</v>
      </c>
      <c r="W33" s="324">
        <v>-420528</v>
      </c>
      <c r="X33" s="422"/>
      <c r="Y33" s="422"/>
      <c r="Z33" s="9">
        <f t="shared" si="13"/>
        <v>21</v>
      </c>
      <c r="AA33" s="146" t="s">
        <v>548</v>
      </c>
      <c r="AB33" s="458">
        <f>SUM(AB14:AB32)</f>
        <v>232514691.52833334</v>
      </c>
      <c r="AC33" s="458">
        <f>SUM(AC14:AC32)</f>
        <v>188429365.04291415</v>
      </c>
      <c r="AD33" s="458">
        <f>SUM(AD14:AD32)</f>
        <v>-44085326.485419191</v>
      </c>
      <c r="AE33" s="137"/>
      <c r="AF33" s="129"/>
      <c r="AI33" s="4"/>
      <c r="AJ33" s="448"/>
      <c r="AK33" s="212"/>
      <c r="AL33" s="212"/>
      <c r="AM33" s="212"/>
      <c r="AN33" s="212"/>
      <c r="AO33" s="449">
        <f t="shared" si="9"/>
        <v>21</v>
      </c>
      <c r="AP33" s="143" t="s">
        <v>547</v>
      </c>
      <c r="AQ33" s="451">
        <v>219106.16287749296</v>
      </c>
      <c r="AR33" s="451">
        <v>0</v>
      </c>
      <c r="AS33" s="451">
        <f>AR33-AQ33</f>
        <v>-219106.16287749296</v>
      </c>
      <c r="AT33" s="121"/>
      <c r="AU33" s="121"/>
      <c r="AV33" s="121"/>
      <c r="AW33" s="121"/>
      <c r="AX33" s="121"/>
      <c r="AY33" s="1"/>
      <c r="AZ33" s="121"/>
      <c r="BA33" s="121"/>
      <c r="BB33" s="121"/>
      <c r="BC33" s="121"/>
      <c r="BD33" s="121"/>
      <c r="BE33" s="121"/>
      <c r="BF33" s="121"/>
      <c r="BG33" s="121"/>
      <c r="BH33" s="121"/>
      <c r="BI33" s="416">
        <f t="shared" si="11"/>
        <v>21</v>
      </c>
      <c r="BJ33" s="49" t="s">
        <v>546</v>
      </c>
      <c r="BK33" s="439">
        <f>SUM(BK31:BK32)</f>
        <v>3566282.1023004255</v>
      </c>
      <c r="BL33" s="439">
        <f>SUM(BL31:BL32)</f>
        <v>-52548.472365063768</v>
      </c>
      <c r="BM33" s="439">
        <f>SUM(BM31:BM32)</f>
        <v>18392</v>
      </c>
      <c r="BN33" s="121"/>
    </row>
    <row r="34" spans="1:85" ht="13.5" thickTop="1">
      <c r="A34" s="9">
        <f t="shared" si="1"/>
        <v>22</v>
      </c>
      <c r="B34" s="121"/>
      <c r="C34" s="121"/>
      <c r="D34" s="121"/>
      <c r="E34" s="121"/>
      <c r="J34" s="64"/>
      <c r="L34" s="121"/>
      <c r="M34" s="121"/>
      <c r="N34" s="121"/>
      <c r="O34" s="121"/>
      <c r="R34" s="71"/>
      <c r="S34" s="71"/>
      <c r="T34" s="71"/>
      <c r="U34" s="9">
        <f t="shared" si="5"/>
        <v>22</v>
      </c>
      <c r="V34" s="453" t="s">
        <v>545</v>
      </c>
      <c r="W34" s="324">
        <v>-1504102</v>
      </c>
      <c r="X34" s="422"/>
      <c r="Y34" s="422"/>
      <c r="Z34" s="9">
        <f t="shared" si="13"/>
        <v>22</v>
      </c>
      <c r="AA34" s="146"/>
      <c r="AB34" s="446"/>
      <c r="AE34" s="137"/>
      <c r="AF34" s="41"/>
      <c r="AI34" s="159"/>
      <c r="AJ34" s="448"/>
      <c r="AK34" s="212"/>
      <c r="AL34" s="212"/>
      <c r="AM34" s="212"/>
      <c r="AN34" s="212"/>
      <c r="AO34" s="449">
        <f t="shared" si="9"/>
        <v>22</v>
      </c>
      <c r="AP34" s="143" t="s">
        <v>544</v>
      </c>
      <c r="AQ34" s="148">
        <f>SUM(AQ30:AQ33)</f>
        <v>2149221.0413247487</v>
      </c>
      <c r="AR34" s="148">
        <f>SUM(AR30:AR33)</f>
        <v>2145903.9723363491</v>
      </c>
      <c r="AS34" s="148">
        <f>SUM(AS30:AS33)</f>
        <v>-3317.0689883994637</v>
      </c>
      <c r="AT34" s="121"/>
      <c r="AU34" s="121"/>
      <c r="AV34" s="121"/>
      <c r="AW34" s="121"/>
      <c r="AX34" s="121"/>
      <c r="AY34" s="121"/>
      <c r="AZ34" s="121"/>
      <c r="BA34" s="121"/>
      <c r="BB34" s="121"/>
      <c r="BC34" s="121"/>
      <c r="BD34" s="121"/>
      <c r="BE34" s="121"/>
      <c r="BF34" s="121"/>
      <c r="BG34" s="121"/>
      <c r="BH34" s="121"/>
      <c r="BI34" s="416">
        <f t="shared" si="11"/>
        <v>22</v>
      </c>
      <c r="BJ34" s="151"/>
      <c r="BK34" s="65"/>
      <c r="BL34" s="65"/>
      <c r="BM34" s="65"/>
      <c r="BN34" s="121"/>
    </row>
    <row r="35" spans="1:85" ht="13.5">
      <c r="A35" s="9">
        <f t="shared" si="1"/>
        <v>23</v>
      </c>
      <c r="B35" s="106" t="s">
        <v>186</v>
      </c>
      <c r="C35" s="121"/>
      <c r="D35" s="121"/>
      <c r="E35" s="121"/>
      <c r="F35" s="121"/>
      <c r="G35" s="121"/>
      <c r="J35" s="4"/>
      <c r="L35" s="121"/>
      <c r="M35" s="121"/>
      <c r="N35" s="121"/>
      <c r="O35" s="121"/>
      <c r="R35" s="71"/>
      <c r="S35" s="71"/>
      <c r="T35" s="71"/>
      <c r="U35" s="9">
        <f t="shared" si="5"/>
        <v>23</v>
      </c>
      <c r="V35" s="453" t="s">
        <v>543</v>
      </c>
      <c r="W35" s="324">
        <v>-5666</v>
      </c>
      <c r="X35" s="422"/>
      <c r="Y35" s="422"/>
      <c r="Z35" s="9">
        <f t="shared" si="13"/>
        <v>23</v>
      </c>
      <c r="AA35" s="456"/>
      <c r="AE35" s="137"/>
      <c r="AJ35" s="448"/>
      <c r="AK35" s="212"/>
      <c r="AL35" s="212"/>
      <c r="AM35" s="212"/>
      <c r="AN35" s="212"/>
      <c r="AO35" s="449">
        <f t="shared" si="9"/>
        <v>23</v>
      </c>
      <c r="AP35" s="448"/>
      <c r="AQ35" s="145"/>
      <c r="AR35" s="238"/>
      <c r="AS35" s="145"/>
      <c r="AT35" s="457"/>
      <c r="AU35" s="457"/>
      <c r="AV35" s="457"/>
      <c r="AW35" s="457"/>
      <c r="AX35" s="457"/>
      <c r="AY35" s="457"/>
      <c r="AZ35" s="457"/>
      <c r="BA35" s="121"/>
      <c r="BB35" s="121"/>
      <c r="BC35" s="121"/>
      <c r="BD35" s="121"/>
      <c r="BE35" s="121"/>
      <c r="BF35" s="121"/>
      <c r="BG35" s="121"/>
      <c r="BH35" s="121"/>
      <c r="BI35" s="416">
        <f t="shared" si="11"/>
        <v>23</v>
      </c>
      <c r="BJ35" s="421" t="s">
        <v>542</v>
      </c>
      <c r="BK35" s="42"/>
      <c r="BL35" s="41"/>
      <c r="BM35" s="41"/>
      <c r="BN35" s="3"/>
      <c r="CD35" s="3"/>
      <c r="CE35" s="3"/>
      <c r="CF35" s="3"/>
      <c r="CG35" s="3"/>
    </row>
    <row r="36" spans="1:85" ht="13.5">
      <c r="A36" s="9"/>
      <c r="B36" s="121"/>
      <c r="C36" s="121"/>
      <c r="D36" s="121"/>
      <c r="E36" s="121"/>
      <c r="F36" s="121"/>
      <c r="G36" s="121"/>
      <c r="J36" s="4"/>
      <c r="L36" s="121"/>
      <c r="M36" s="121"/>
      <c r="N36" s="121"/>
      <c r="O36" s="121"/>
      <c r="R36" s="71"/>
      <c r="S36" s="71"/>
      <c r="T36" s="71"/>
      <c r="U36" s="9">
        <f t="shared" si="5"/>
        <v>24</v>
      </c>
      <c r="V36" s="453" t="s">
        <v>541</v>
      </c>
      <c r="W36" s="324">
        <v>-23700508</v>
      </c>
      <c r="X36" s="422"/>
      <c r="Y36" s="422"/>
      <c r="Z36" s="9">
        <f t="shared" si="13"/>
        <v>24</v>
      </c>
      <c r="AA36" s="456" t="s">
        <v>540</v>
      </c>
      <c r="AB36" s="41"/>
      <c r="AC36" s="41"/>
      <c r="AD36" s="41"/>
      <c r="AE36" s="137"/>
      <c r="AJ36" s="448"/>
      <c r="AK36" s="448"/>
      <c r="AL36" s="448"/>
      <c r="AM36" s="448"/>
      <c r="AN36" s="448"/>
      <c r="AO36" s="449">
        <f t="shared" si="9"/>
        <v>24</v>
      </c>
      <c r="AP36" s="455"/>
      <c r="AQ36" s="145"/>
      <c r="AR36" s="238"/>
      <c r="AS36" s="145"/>
      <c r="AT36" s="454"/>
      <c r="AU36" s="454"/>
      <c r="AV36" s="454"/>
      <c r="AW36" s="454"/>
      <c r="AX36" s="454"/>
      <c r="AY36" s="454"/>
      <c r="AZ36" s="454"/>
      <c r="BA36" s="121"/>
      <c r="BB36" s="121"/>
      <c r="BC36" s="121"/>
      <c r="BD36" s="121"/>
      <c r="BE36" s="121"/>
      <c r="BF36" s="121"/>
      <c r="BG36" s="121"/>
      <c r="BH36" s="121"/>
      <c r="BI36" s="416">
        <f t="shared" si="11"/>
        <v>24</v>
      </c>
      <c r="BJ36" s="151" t="s">
        <v>539</v>
      </c>
      <c r="BK36" s="220">
        <f>'MCC-2r page 31-45'!BB23</f>
        <v>1494701.7220710218</v>
      </c>
      <c r="BL36" s="420">
        <f t="shared" ref="BL36:BL46" si="15">-BK36*$BL$13</f>
        <v>0</v>
      </c>
      <c r="BM36" s="220">
        <f t="shared" ref="BM36:BM46" si="16">-BL36*$BM$11</f>
        <v>0</v>
      </c>
      <c r="BN36" s="3"/>
      <c r="BO36" s="121"/>
      <c r="CC36" s="1"/>
      <c r="CD36" s="137"/>
      <c r="CE36" s="137"/>
      <c r="CF36" s="137"/>
      <c r="CG36" s="137"/>
    </row>
    <row r="37" spans="1:85">
      <c r="A37" s="9"/>
      <c r="B37" s="121"/>
      <c r="C37" s="121"/>
      <c r="D37" s="121"/>
      <c r="E37" s="121"/>
      <c r="F37" s="121"/>
      <c r="G37" s="121"/>
      <c r="J37" s="4"/>
      <c r="L37" s="121"/>
      <c r="M37" s="121"/>
      <c r="N37" s="121"/>
      <c r="O37" s="121"/>
      <c r="R37" s="71"/>
      <c r="S37" s="71"/>
      <c r="T37" s="122"/>
      <c r="U37" s="9">
        <f t="shared" si="5"/>
        <v>25</v>
      </c>
      <c r="V37" s="453" t="s">
        <v>538</v>
      </c>
      <c r="W37" s="324">
        <v>-23046021</v>
      </c>
      <c r="X37" s="422"/>
      <c r="Y37" s="422"/>
      <c r="Z37" s="9">
        <f t="shared" si="13"/>
        <v>25</v>
      </c>
      <c r="AA37" s="49" t="s">
        <v>479</v>
      </c>
      <c r="AB37" s="442" t="s">
        <v>525</v>
      </c>
      <c r="AC37" s="442"/>
      <c r="AD37" s="442"/>
      <c r="AE37" s="137"/>
      <c r="AJ37" s="448"/>
      <c r="AK37" s="448"/>
      <c r="AL37" s="448"/>
      <c r="AM37" s="448"/>
      <c r="AN37" s="448"/>
      <c r="AO37" s="449">
        <f t="shared" si="9"/>
        <v>25</v>
      </c>
      <c r="AP37" s="448"/>
      <c r="AQ37" s="145"/>
      <c r="AR37" s="238"/>
      <c r="AS37" s="145"/>
      <c r="AT37" s="173"/>
      <c r="AU37" s="173"/>
      <c r="AV37" s="173"/>
      <c r="AW37" s="173"/>
      <c r="AX37" s="173"/>
      <c r="AY37" s="173"/>
      <c r="AZ37" s="173"/>
      <c r="BA37" s="121"/>
      <c r="BB37" s="121"/>
      <c r="BC37" s="121"/>
      <c r="BD37" s="121"/>
      <c r="BE37" s="121"/>
      <c r="BF37" s="121"/>
      <c r="BG37" s="121"/>
      <c r="BH37" s="121"/>
      <c r="BI37" s="416">
        <f t="shared" si="11"/>
        <v>25</v>
      </c>
      <c r="BJ37" s="151" t="s">
        <v>537</v>
      </c>
      <c r="BK37" s="71">
        <f>AC51</f>
        <v>-1381851.7170492394</v>
      </c>
      <c r="BL37" s="41">
        <f t="shared" si="15"/>
        <v>0</v>
      </c>
      <c r="BM37" s="71">
        <f t="shared" si="16"/>
        <v>0</v>
      </c>
      <c r="BN37" s="121"/>
      <c r="BO37" s="121"/>
      <c r="CC37" s="1"/>
      <c r="CD37" s="19"/>
      <c r="CE37" s="19"/>
      <c r="CF37" s="19"/>
      <c r="CG37" s="19"/>
    </row>
    <row r="38" spans="1:85">
      <c r="A38" s="9"/>
      <c r="C38" s="121"/>
      <c r="D38" s="121"/>
      <c r="E38" s="121"/>
      <c r="F38" s="121"/>
      <c r="G38" s="121"/>
      <c r="L38" s="121"/>
      <c r="M38" s="121"/>
      <c r="N38" s="121"/>
      <c r="O38" s="121"/>
      <c r="P38" s="440"/>
      <c r="Q38" s="440"/>
      <c r="R38" s="440"/>
      <c r="S38" s="71"/>
      <c r="T38" s="122"/>
      <c r="U38" s="9">
        <f t="shared" si="5"/>
        <v>26</v>
      </c>
      <c r="V38" s="453" t="s">
        <v>536</v>
      </c>
      <c r="W38" s="452">
        <f>SUM(W33:W37)</f>
        <v>-48676825</v>
      </c>
      <c r="X38" s="422"/>
      <c r="Y38" s="422"/>
      <c r="Z38" s="9">
        <f t="shared" si="13"/>
        <v>26</v>
      </c>
      <c r="AA38" s="49" t="s">
        <v>477</v>
      </c>
      <c r="AB38" s="442" t="s">
        <v>525</v>
      </c>
      <c r="AC38" s="442"/>
      <c r="AD38" s="442"/>
      <c r="AE38" s="137"/>
      <c r="AO38" s="449">
        <f t="shared" si="9"/>
        <v>26</v>
      </c>
      <c r="AP38" s="213" t="s">
        <v>159</v>
      </c>
      <c r="AQ38" s="222">
        <v>0.35</v>
      </c>
      <c r="AR38" s="238"/>
      <c r="AS38" s="451">
        <f>-AS34*AQ38</f>
        <v>1160.9741459398122</v>
      </c>
      <c r="AT38" s="173"/>
      <c r="AU38" s="173"/>
      <c r="AV38" s="173"/>
      <c r="AW38" s="173"/>
      <c r="AX38" s="173"/>
      <c r="AY38" s="173"/>
      <c r="AZ38" s="173"/>
      <c r="BA38" s="121"/>
      <c r="BB38" s="121"/>
      <c r="BC38" s="121"/>
      <c r="BD38" s="121"/>
      <c r="BE38" s="121"/>
      <c r="BF38" s="121"/>
      <c r="BG38" s="121"/>
      <c r="BH38" s="121"/>
      <c r="BI38" s="416">
        <f t="shared" si="11"/>
        <v>26</v>
      </c>
      <c r="BJ38" s="151" t="s">
        <v>535</v>
      </c>
      <c r="BK38" s="71">
        <f>AC50</f>
        <v>-400021.52129608387</v>
      </c>
      <c r="BL38" s="41">
        <f t="shared" si="15"/>
        <v>0</v>
      </c>
      <c r="BM38" s="71">
        <f t="shared" si="16"/>
        <v>0</v>
      </c>
      <c r="BN38" s="121"/>
      <c r="BO38" s="121"/>
      <c r="CC38" s="1"/>
      <c r="CD38" s="3"/>
      <c r="CE38" s="3"/>
      <c r="CF38" s="3"/>
      <c r="CG38" s="3"/>
    </row>
    <row r="39" spans="1:85" ht="13.5" thickBot="1">
      <c r="A39" s="9"/>
      <c r="C39" s="121"/>
      <c r="D39" s="121"/>
      <c r="E39" s="121"/>
      <c r="F39" s="121"/>
      <c r="G39" s="121"/>
      <c r="L39" s="121"/>
      <c r="M39" s="121"/>
      <c r="N39" s="121"/>
      <c r="O39" s="121"/>
      <c r="P39" s="450"/>
      <c r="Q39" s="450"/>
      <c r="R39" s="450"/>
      <c r="S39" s="434" t="s">
        <v>513</v>
      </c>
      <c r="T39" s="122"/>
      <c r="U39" s="9">
        <f t="shared" si="5"/>
        <v>27</v>
      </c>
      <c r="V39" s="422" t="s">
        <v>534</v>
      </c>
      <c r="W39" s="311">
        <v>17036888.75</v>
      </c>
      <c r="X39" s="424"/>
      <c r="Y39" s="424"/>
      <c r="Z39" s="9">
        <f t="shared" si="13"/>
        <v>27</v>
      </c>
      <c r="AA39" s="49" t="s">
        <v>476</v>
      </c>
      <c r="AB39" s="442" t="s">
        <v>525</v>
      </c>
      <c r="AC39" s="442"/>
      <c r="AD39" s="442"/>
      <c r="AE39" s="137"/>
      <c r="AF39" s="445"/>
      <c r="AO39" s="449">
        <f t="shared" si="9"/>
        <v>27</v>
      </c>
      <c r="AP39" s="213" t="s">
        <v>158</v>
      </c>
      <c r="AQ39" s="145"/>
      <c r="AR39" s="238"/>
      <c r="AS39" s="132">
        <f>-AS34-AS38</f>
        <v>2156.0948424596518</v>
      </c>
      <c r="AT39" s="173"/>
      <c r="AU39" s="213"/>
      <c r="AV39" s="145"/>
      <c r="AW39" s="238"/>
      <c r="AX39" s="64"/>
      <c r="AY39" s="173"/>
      <c r="AZ39" s="173"/>
      <c r="BA39" s="121"/>
      <c r="BB39" s="121"/>
      <c r="BC39" s="121"/>
      <c r="BD39" s="121"/>
      <c r="BE39" s="121"/>
      <c r="BF39" s="121"/>
      <c r="BG39" s="121"/>
      <c r="BH39" s="121"/>
      <c r="BI39" s="416">
        <f t="shared" si="11"/>
        <v>27</v>
      </c>
      <c r="BJ39" s="151" t="s">
        <v>533</v>
      </c>
      <c r="BK39" s="71">
        <f>AC52</f>
        <v>3786307.8400000003</v>
      </c>
      <c r="BL39" s="41">
        <f t="shared" si="15"/>
        <v>0</v>
      </c>
      <c r="BM39" s="71">
        <f t="shared" si="16"/>
        <v>0</v>
      </c>
      <c r="BN39" s="121"/>
      <c r="BO39" s="121"/>
      <c r="CD39" s="3"/>
      <c r="CE39" s="3"/>
      <c r="CF39" s="3"/>
      <c r="CG39" s="3"/>
    </row>
    <row r="40" spans="1:85" ht="13.5" thickTop="1">
      <c r="A40" s="9"/>
      <c r="C40" s="121"/>
      <c r="D40" s="121"/>
      <c r="E40" s="121"/>
      <c r="F40" s="121"/>
      <c r="G40" s="121"/>
      <c r="L40" s="121"/>
      <c r="M40" s="121"/>
      <c r="N40" s="121"/>
      <c r="O40" s="121"/>
      <c r="P40" s="440"/>
      <c r="Q40" s="450"/>
      <c r="R40" s="450"/>
      <c r="S40" s="434"/>
      <c r="T40" s="122"/>
      <c r="U40" s="9">
        <f t="shared" si="5"/>
        <v>28</v>
      </c>
      <c r="V40" s="422"/>
      <c r="W40" s="424"/>
      <c r="X40" s="424"/>
      <c r="Y40" s="424"/>
      <c r="Z40" s="9">
        <f t="shared" si="13"/>
        <v>28</v>
      </c>
      <c r="AA40" s="49" t="s">
        <v>858</v>
      </c>
      <c r="AB40" s="166">
        <v>2885052</v>
      </c>
      <c r="AC40" s="166">
        <v>2885052</v>
      </c>
      <c r="AD40" s="166">
        <f>+AC40-AB40</f>
        <v>0</v>
      </c>
      <c r="AE40" s="137"/>
      <c r="AO40" s="449"/>
      <c r="AP40" s="448"/>
      <c r="AQ40" s="145"/>
      <c r="AR40" s="238"/>
      <c r="AS40" s="145"/>
      <c r="AT40" s="173"/>
      <c r="AU40" s="173"/>
      <c r="AV40" s="173"/>
      <c r="AW40" s="173"/>
      <c r="AX40" s="173"/>
      <c r="AY40" s="173"/>
      <c r="AZ40" s="173"/>
      <c r="BA40" s="121"/>
      <c r="BB40" s="121"/>
      <c r="BC40" s="121"/>
      <c r="BD40" s="121"/>
      <c r="BE40" s="121"/>
      <c r="BF40" s="121"/>
      <c r="BG40" s="121"/>
      <c r="BH40" s="121"/>
      <c r="BI40" s="416">
        <f t="shared" si="11"/>
        <v>28</v>
      </c>
      <c r="BJ40" s="151" t="s">
        <v>532</v>
      </c>
      <c r="BK40" s="42">
        <f>AC40</f>
        <v>2885052</v>
      </c>
      <c r="BL40" s="41">
        <f t="shared" si="15"/>
        <v>0</v>
      </c>
      <c r="BM40" s="71">
        <f t="shared" si="16"/>
        <v>0</v>
      </c>
      <c r="BN40" s="121"/>
      <c r="BO40" s="121"/>
      <c r="CC40" s="9"/>
      <c r="CD40" s="79"/>
      <c r="CE40" s="79"/>
      <c r="CF40" s="79"/>
      <c r="CG40" s="79"/>
    </row>
    <row r="41" spans="1:85">
      <c r="A41" s="9"/>
      <c r="B41" s="121"/>
      <c r="C41" s="121"/>
      <c r="D41" s="121"/>
      <c r="E41" s="121"/>
      <c r="F41" s="121"/>
      <c r="G41" s="121"/>
      <c r="L41" s="121"/>
      <c r="M41" s="121"/>
      <c r="N41" s="121"/>
      <c r="O41" s="121"/>
      <c r="P41" s="440"/>
      <c r="Q41" s="444"/>
      <c r="R41" s="443"/>
      <c r="S41" s="434" t="s">
        <v>513</v>
      </c>
      <c r="T41" s="122"/>
      <c r="U41" s="9">
        <f t="shared" si="5"/>
        <v>29</v>
      </c>
      <c r="V41" s="151" t="s">
        <v>531</v>
      </c>
      <c r="W41" s="431">
        <v>6023911</v>
      </c>
      <c r="X41" s="447">
        <v>0</v>
      </c>
      <c r="Y41" s="424"/>
      <c r="Z41" s="9">
        <f t="shared" si="13"/>
        <v>29</v>
      </c>
      <c r="AA41" s="49" t="s">
        <v>859</v>
      </c>
      <c r="AB41" s="442" t="s">
        <v>525</v>
      </c>
      <c r="AC41" s="442"/>
      <c r="AD41" s="442"/>
      <c r="AE41" s="137"/>
      <c r="AG41" s="446"/>
      <c r="AH41" s="446"/>
      <c r="AI41" s="446"/>
      <c r="AO41" s="173"/>
      <c r="AP41" s="145"/>
      <c r="AQ41" s="145"/>
      <c r="AR41" s="238"/>
      <c r="AS41" s="145"/>
      <c r="AT41" s="173"/>
      <c r="AU41" s="173"/>
      <c r="AV41" s="173"/>
      <c r="AW41" s="173"/>
      <c r="AX41" s="173"/>
      <c r="AY41" s="173"/>
      <c r="AZ41" s="173"/>
      <c r="BA41" s="121"/>
      <c r="BB41" s="121"/>
      <c r="BC41" s="121"/>
      <c r="BD41" s="121"/>
      <c r="BE41" s="121"/>
      <c r="BF41" s="121"/>
      <c r="BG41" s="121"/>
      <c r="BH41" s="121"/>
      <c r="BI41" s="416">
        <f t="shared" si="11"/>
        <v>29</v>
      </c>
      <c r="BJ41" s="151" t="s">
        <v>530</v>
      </c>
      <c r="BK41" s="42">
        <f>AC46</f>
        <v>0</v>
      </c>
      <c r="BL41" s="41">
        <f t="shared" si="15"/>
        <v>0</v>
      </c>
      <c r="BM41" s="71">
        <f t="shared" si="16"/>
        <v>0</v>
      </c>
      <c r="BN41" s="121"/>
      <c r="BO41" s="121"/>
      <c r="CC41" s="9"/>
    </row>
    <row r="42" spans="1:85">
      <c r="A42" s="9"/>
      <c r="B42" s="121"/>
      <c r="C42" s="121"/>
      <c r="D42" s="121"/>
      <c r="E42" s="121"/>
      <c r="F42" s="121"/>
      <c r="G42" s="121"/>
      <c r="L42" s="121"/>
      <c r="M42" s="121"/>
      <c r="N42" s="121"/>
      <c r="O42" s="121"/>
      <c r="P42" s="440"/>
      <c r="Q42" s="440"/>
      <c r="R42" s="440"/>
      <c r="S42" s="434" t="s">
        <v>513</v>
      </c>
      <c r="T42" s="122"/>
      <c r="U42" s="9">
        <f t="shared" si="5"/>
        <v>30</v>
      </c>
      <c r="V42" s="151" t="s">
        <v>529</v>
      </c>
      <c r="W42" s="431">
        <v>8153023</v>
      </c>
      <c r="X42" s="424"/>
      <c r="Y42" s="424"/>
      <c r="Z42" s="9">
        <f t="shared" si="13"/>
        <v>30</v>
      </c>
      <c r="AA42" s="49" t="s">
        <v>473</v>
      </c>
      <c r="AB42" s="442" t="s">
        <v>525</v>
      </c>
      <c r="AC42" s="442"/>
      <c r="AD42" s="442"/>
      <c r="AE42" s="137"/>
      <c r="AF42" s="445"/>
      <c r="AT42" s="64"/>
      <c r="AU42" s="64"/>
      <c r="AV42" s="64"/>
      <c r="AW42" s="64"/>
      <c r="AX42" s="64"/>
      <c r="AY42" s="64"/>
      <c r="AZ42" s="64"/>
      <c r="BA42" s="121"/>
      <c r="BB42" s="121"/>
      <c r="BC42" s="121"/>
      <c r="BD42" s="121"/>
      <c r="BE42" s="121"/>
      <c r="BF42" s="121"/>
      <c r="BG42" s="121"/>
      <c r="BH42" s="121"/>
      <c r="BI42" s="416">
        <f t="shared" si="11"/>
        <v>30</v>
      </c>
      <c r="BJ42" s="151" t="s">
        <v>528</v>
      </c>
      <c r="BK42" s="42">
        <f>AC49</f>
        <v>4520422.508572978</v>
      </c>
      <c r="BL42" s="41">
        <f t="shared" si="15"/>
        <v>0</v>
      </c>
      <c r="BM42" s="71">
        <f t="shared" si="16"/>
        <v>0</v>
      </c>
      <c r="BN42" s="121"/>
      <c r="BO42" s="121"/>
    </row>
    <row r="43" spans="1:85">
      <c r="A43" s="9"/>
      <c r="B43" s="121"/>
      <c r="C43" s="121"/>
      <c r="D43" s="121"/>
      <c r="E43" s="121"/>
      <c r="F43" s="121"/>
      <c r="G43" s="121"/>
      <c r="L43" s="121"/>
      <c r="M43" s="121"/>
      <c r="N43" s="121"/>
      <c r="O43" s="121"/>
      <c r="P43" s="440"/>
      <c r="Q43" s="444"/>
      <c r="R43" s="443"/>
      <c r="S43" s="434" t="s">
        <v>513</v>
      </c>
      <c r="T43" s="71"/>
      <c r="U43" s="9">
        <f t="shared" si="5"/>
        <v>31</v>
      </c>
      <c r="V43" s="1"/>
      <c r="W43" s="424"/>
      <c r="X43" s="424"/>
      <c r="Y43" s="424"/>
      <c r="Z43" s="9">
        <f t="shared" si="13"/>
        <v>31</v>
      </c>
      <c r="AA43" s="49" t="s">
        <v>860</v>
      </c>
      <c r="AB43" s="41">
        <v>241268.10200000007</v>
      </c>
      <c r="AC43" s="41">
        <v>0</v>
      </c>
      <c r="AD43" s="41">
        <f>+AC43-AB43</f>
        <v>-241268.10200000007</v>
      </c>
      <c r="AE43" s="137"/>
      <c r="BA43" s="121"/>
      <c r="BB43" s="121"/>
      <c r="BC43" s="121"/>
      <c r="BD43" s="121"/>
      <c r="BE43" s="121"/>
      <c r="BF43" s="121"/>
      <c r="BG43" s="121"/>
      <c r="BH43" s="121"/>
      <c r="BI43" s="416">
        <f t="shared" si="11"/>
        <v>31</v>
      </c>
      <c r="BJ43" s="151" t="s">
        <v>527</v>
      </c>
      <c r="BK43" s="42">
        <f>AC47</f>
        <v>561126.34087998548</v>
      </c>
      <c r="BL43" s="41">
        <f t="shared" si="15"/>
        <v>0</v>
      </c>
      <c r="BM43" s="71">
        <f t="shared" si="16"/>
        <v>0</v>
      </c>
      <c r="BN43" s="121"/>
      <c r="BO43" s="121"/>
    </row>
    <row r="44" spans="1:85">
      <c r="A44" s="9"/>
      <c r="B44" s="121"/>
      <c r="C44" s="121"/>
      <c r="D44" s="121"/>
      <c r="E44" s="121"/>
      <c r="F44" s="121"/>
      <c r="G44" s="121"/>
      <c r="L44" s="121"/>
      <c r="M44" s="121"/>
      <c r="N44" s="121"/>
      <c r="O44" s="121"/>
      <c r="P44" s="440"/>
      <c r="Q44" s="444"/>
      <c r="R44" s="443"/>
      <c r="S44" s="434"/>
      <c r="T44" s="71"/>
      <c r="U44" s="9">
        <f t="shared" si="5"/>
        <v>32</v>
      </c>
      <c r="V44" s="316" t="s">
        <v>526</v>
      </c>
      <c r="W44" s="424"/>
      <c r="X44" s="424"/>
      <c r="Y44" s="424"/>
      <c r="Z44" s="9">
        <f t="shared" si="13"/>
        <v>32</v>
      </c>
      <c r="AA44" s="49" t="s">
        <v>861</v>
      </c>
      <c r="AB44" s="442" t="s">
        <v>525</v>
      </c>
      <c r="AC44" s="442"/>
      <c r="AD44" s="442"/>
      <c r="AE44" s="9"/>
      <c r="AF44" s="441"/>
      <c r="AG44" s="41"/>
      <c r="AH44" s="41"/>
      <c r="BA44" s="121"/>
      <c r="BB44" s="121"/>
      <c r="BC44" s="121"/>
      <c r="BD44" s="121"/>
      <c r="BI44" s="416">
        <f t="shared" si="11"/>
        <v>32</v>
      </c>
      <c r="BJ44" s="151" t="s">
        <v>524</v>
      </c>
      <c r="BK44" s="42">
        <f>AC48</f>
        <v>2203436.1529896799</v>
      </c>
      <c r="BL44" s="41">
        <f t="shared" si="15"/>
        <v>0</v>
      </c>
      <c r="BM44" s="71">
        <f t="shared" si="16"/>
        <v>0</v>
      </c>
      <c r="BN44" s="121"/>
      <c r="BO44" s="121"/>
    </row>
    <row r="45" spans="1:85">
      <c r="A45" s="9"/>
      <c r="B45" s="121"/>
      <c r="C45" s="121"/>
      <c r="D45" s="121"/>
      <c r="E45" s="121"/>
      <c r="F45" s="121"/>
      <c r="G45" s="121"/>
      <c r="L45" s="121"/>
      <c r="M45" s="121"/>
      <c r="N45" s="121"/>
      <c r="O45" s="121"/>
      <c r="P45" s="440"/>
      <c r="Q45" s="440"/>
      <c r="R45" s="440"/>
      <c r="S45" s="434" t="s">
        <v>513</v>
      </c>
      <c r="T45" s="71"/>
      <c r="U45" s="9">
        <f t="shared" si="5"/>
        <v>33</v>
      </c>
      <c r="V45" s="151" t="s">
        <v>523</v>
      </c>
      <c r="W45" s="424"/>
      <c r="X45" s="424"/>
      <c r="Z45" s="9">
        <f t="shared" si="13"/>
        <v>33</v>
      </c>
      <c r="AA45" s="49" t="s">
        <v>862</v>
      </c>
      <c r="AB45" s="41">
        <v>687420</v>
      </c>
      <c r="AC45" s="41">
        <v>687420</v>
      </c>
      <c r="AD45" s="41">
        <f t="shared" ref="AD45:AD52" si="17">+AC45-AB45</f>
        <v>0</v>
      </c>
      <c r="AE45" s="437"/>
      <c r="BA45" s="121"/>
      <c r="BB45" s="121"/>
      <c r="BC45" s="121"/>
      <c r="BI45" s="416">
        <f t="shared" si="11"/>
        <v>33</v>
      </c>
      <c r="BJ45" s="151" t="s">
        <v>522</v>
      </c>
      <c r="BK45" s="42">
        <f>AC43</f>
        <v>0</v>
      </c>
      <c r="BL45" s="41">
        <f t="shared" si="15"/>
        <v>0</v>
      </c>
      <c r="BM45" s="71">
        <f t="shared" si="16"/>
        <v>0</v>
      </c>
      <c r="BN45" s="121"/>
      <c r="BO45" s="121"/>
      <c r="CC45" s="437"/>
    </row>
    <row r="46" spans="1:85">
      <c r="A46" s="9"/>
      <c r="B46" s="121"/>
      <c r="C46" s="121"/>
      <c r="D46" s="121"/>
      <c r="E46" s="121"/>
      <c r="F46" s="121"/>
      <c r="G46" s="121"/>
      <c r="L46" s="121"/>
      <c r="M46" s="121"/>
      <c r="N46" s="121"/>
      <c r="O46" s="121"/>
      <c r="P46" s="440"/>
      <c r="Q46" s="440"/>
      <c r="R46" s="440"/>
      <c r="S46" s="434"/>
      <c r="T46" s="71"/>
      <c r="U46" s="9">
        <f t="shared" ref="U46:U68" si="18">U45+1</f>
        <v>34</v>
      </c>
      <c r="V46" s="423" t="s">
        <v>521</v>
      </c>
      <c r="W46" s="324">
        <v>-12560038</v>
      </c>
      <c r="X46" s="424"/>
      <c r="Z46" s="9">
        <f t="shared" si="13"/>
        <v>34</v>
      </c>
      <c r="AA46" s="49" t="s">
        <v>863</v>
      </c>
      <c r="AB46" s="41">
        <v>2624776.7668181919</v>
      </c>
      <c r="AC46" s="41">
        <v>0</v>
      </c>
      <c r="AD46" s="41">
        <f t="shared" si="17"/>
        <v>-2624776.7668181919</v>
      </c>
      <c r="BA46" s="121"/>
      <c r="BB46" s="121"/>
      <c r="BC46" s="121"/>
      <c r="BI46" s="416">
        <f t="shared" ref="BI46:BI77" si="19">+BI45+1</f>
        <v>34</v>
      </c>
      <c r="BJ46" s="151" t="s">
        <v>520</v>
      </c>
      <c r="BK46" s="83">
        <f>AC45</f>
        <v>687420</v>
      </c>
      <c r="BL46" s="41">
        <f t="shared" si="15"/>
        <v>0</v>
      </c>
      <c r="BM46" s="71">
        <f t="shared" si="16"/>
        <v>0</v>
      </c>
      <c r="BN46" s="121"/>
      <c r="BO46" s="121"/>
      <c r="CC46" s="437"/>
    </row>
    <row r="47" spans="1:85" ht="13.5" customHeight="1">
      <c r="A47" s="9"/>
      <c r="B47" s="121"/>
      <c r="C47" s="121"/>
      <c r="D47" s="121"/>
      <c r="E47" s="121"/>
      <c r="F47" s="121"/>
      <c r="G47" s="121"/>
      <c r="L47" s="121"/>
      <c r="M47" s="121"/>
      <c r="N47" s="121"/>
      <c r="O47" s="121"/>
      <c r="P47" s="434"/>
      <c r="Q47" s="434" t="s">
        <v>513</v>
      </c>
      <c r="R47" s="434"/>
      <c r="S47" s="434"/>
      <c r="T47" s="71"/>
      <c r="U47" s="9">
        <f t="shared" si="18"/>
        <v>35</v>
      </c>
      <c r="V47" s="423" t="s">
        <v>519</v>
      </c>
      <c r="W47" s="133">
        <v>50186</v>
      </c>
      <c r="X47" s="1"/>
      <c r="Z47" s="9">
        <f t="shared" ref="Z47:Z66" si="20">+Z46+1</f>
        <v>35</v>
      </c>
      <c r="AA47" s="49" t="s">
        <v>864</v>
      </c>
      <c r="AB47" s="41">
        <v>673351.60905598255</v>
      </c>
      <c r="AC47" s="41">
        <v>561126.34087998548</v>
      </c>
      <c r="AD47" s="41">
        <f t="shared" si="17"/>
        <v>-112225.26817599707</v>
      </c>
      <c r="AV47" s="151"/>
      <c r="BA47" s="121"/>
      <c r="BB47" s="121"/>
      <c r="BC47" s="121"/>
      <c r="BI47" s="416">
        <f t="shared" si="19"/>
        <v>35</v>
      </c>
      <c r="BJ47" s="151" t="s">
        <v>518</v>
      </c>
      <c r="BK47" s="439">
        <f>SUM(BK35:BK46)</f>
        <v>14356593.326168343</v>
      </c>
      <c r="BL47" s="439">
        <f>SUM(BL35:BL46)</f>
        <v>0</v>
      </c>
      <c r="BM47" s="439">
        <f>SUM(BM35:BM46)</f>
        <v>0</v>
      </c>
      <c r="BN47" s="121"/>
      <c r="BO47" s="121"/>
      <c r="CC47" s="437"/>
    </row>
    <row r="48" spans="1:85">
      <c r="A48" s="9"/>
      <c r="B48" s="121"/>
      <c r="C48" s="121"/>
      <c r="D48" s="121"/>
      <c r="E48" s="121"/>
      <c r="F48" s="121"/>
      <c r="G48" s="121"/>
      <c r="L48" s="121"/>
      <c r="M48" s="121"/>
      <c r="N48" s="121"/>
      <c r="O48" s="121"/>
      <c r="P48" s="434"/>
      <c r="Q48" s="434" t="s">
        <v>513</v>
      </c>
      <c r="R48" s="434"/>
      <c r="S48" s="434"/>
      <c r="T48" s="71"/>
      <c r="U48" s="9">
        <f t="shared" si="18"/>
        <v>36</v>
      </c>
      <c r="V48" s="423" t="s">
        <v>517</v>
      </c>
      <c r="W48" s="438">
        <v>6632821</v>
      </c>
      <c r="X48" s="324">
        <v>0</v>
      </c>
      <c r="Z48" s="9">
        <f t="shared" si="20"/>
        <v>36</v>
      </c>
      <c r="AA48" s="49" t="s">
        <v>865</v>
      </c>
      <c r="AB48" s="41">
        <v>2644123.3835876156</v>
      </c>
      <c r="AC48" s="41">
        <v>2203436.1529896799</v>
      </c>
      <c r="AD48" s="41">
        <f t="shared" si="17"/>
        <v>-440687.23059793562</v>
      </c>
      <c r="BA48" s="121"/>
      <c r="BB48" s="121"/>
      <c r="BC48" s="121"/>
      <c r="BI48" s="416">
        <f t="shared" si="19"/>
        <v>36</v>
      </c>
      <c r="BJ48" s="418" t="s">
        <v>516</v>
      </c>
      <c r="BK48" s="65">
        <f>AC53-BK47</f>
        <v>0</v>
      </c>
      <c r="BL48" s="159"/>
      <c r="BM48" s="159"/>
      <c r="BN48" s="121"/>
      <c r="BO48" s="121"/>
      <c r="CC48" s="437"/>
    </row>
    <row r="49" spans="1:85" ht="13.5">
      <c r="A49" s="9"/>
      <c r="B49" s="121"/>
      <c r="C49" s="121"/>
      <c r="D49" s="121"/>
      <c r="E49" s="121"/>
      <c r="F49" s="121"/>
      <c r="G49" s="121"/>
      <c r="L49" s="121"/>
      <c r="M49" s="121"/>
      <c r="N49" s="121"/>
      <c r="O49" s="121"/>
      <c r="P49" s="434" t="s">
        <v>513</v>
      </c>
      <c r="Q49" s="434" t="s">
        <v>513</v>
      </c>
      <c r="R49" s="434" t="s">
        <v>513</v>
      </c>
      <c r="S49" s="434" t="s">
        <v>513</v>
      </c>
      <c r="T49" s="71"/>
      <c r="U49" s="9">
        <f t="shared" si="18"/>
        <v>37</v>
      </c>
      <c r="V49" s="436"/>
      <c r="W49" s="424"/>
      <c r="X49" s="424"/>
      <c r="Z49" s="9">
        <f t="shared" si="20"/>
        <v>37</v>
      </c>
      <c r="AA49" s="49" t="s">
        <v>866</v>
      </c>
      <c r="AB49" s="41">
        <v>4520422.508572978</v>
      </c>
      <c r="AC49" s="41">
        <v>4520422.508572978</v>
      </c>
      <c r="AD49" s="41">
        <f t="shared" si="17"/>
        <v>0</v>
      </c>
      <c r="AE49" s="432"/>
      <c r="BA49" s="121"/>
      <c r="BB49" s="121"/>
      <c r="BC49" s="121"/>
      <c r="BE49" s="4"/>
      <c r="BF49" s="4"/>
      <c r="BG49" s="4"/>
      <c r="BH49" s="4"/>
      <c r="BI49" s="416">
        <f t="shared" si="19"/>
        <v>37</v>
      </c>
      <c r="BJ49" s="151" t="s">
        <v>198</v>
      </c>
      <c r="BK49" s="159"/>
      <c r="BL49" s="420">
        <f>+BL22+BL28+BL33+BL47</f>
        <v>-52548.472365063768</v>
      </c>
      <c r="BM49" s="220">
        <f>+BM22+BM28+BM33+BM47</f>
        <v>18392</v>
      </c>
      <c r="BN49" s="121"/>
      <c r="BO49" s="121"/>
    </row>
    <row r="50" spans="1:85" ht="14.25" thickBot="1">
      <c r="A50" s="9"/>
      <c r="B50" s="121"/>
      <c r="C50" s="121"/>
      <c r="D50" s="121"/>
      <c r="E50" s="121"/>
      <c r="F50" s="121"/>
      <c r="G50" s="121"/>
      <c r="L50" s="121"/>
      <c r="M50" s="121"/>
      <c r="N50" s="121"/>
      <c r="O50" s="121"/>
      <c r="P50" s="434" t="s">
        <v>513</v>
      </c>
      <c r="Q50" s="434" t="s">
        <v>513</v>
      </c>
      <c r="R50" s="434" t="s">
        <v>513</v>
      </c>
      <c r="S50" s="434" t="s">
        <v>513</v>
      </c>
      <c r="T50" s="71"/>
      <c r="U50" s="9">
        <f t="shared" si="18"/>
        <v>38</v>
      </c>
      <c r="V50" s="151" t="s">
        <v>515</v>
      </c>
      <c r="W50" s="71">
        <f>SUM(W46:W48)</f>
        <v>-5877031</v>
      </c>
      <c r="Z50" s="9">
        <f t="shared" si="20"/>
        <v>38</v>
      </c>
      <c r="AA50" s="49" t="s">
        <v>867</v>
      </c>
      <c r="AB50" s="41">
        <v>-480025.82555530063</v>
      </c>
      <c r="AC50" s="41">
        <v>-400021.52129608387</v>
      </c>
      <c r="AD50" s="41">
        <f t="shared" si="17"/>
        <v>80004.304259216762</v>
      </c>
      <c r="AE50" s="432"/>
      <c r="AO50" s="4"/>
      <c r="AP50" s="4"/>
      <c r="AQ50" s="4"/>
      <c r="AR50" s="4"/>
      <c r="AS50" s="4"/>
      <c r="AT50" s="4"/>
      <c r="AU50" s="4"/>
      <c r="AV50" s="4"/>
      <c r="AW50" s="4"/>
      <c r="AX50" s="4"/>
      <c r="AY50" s="4"/>
      <c r="AZ50" s="4"/>
      <c r="BA50" s="121"/>
      <c r="BB50" s="121"/>
      <c r="BC50" s="121"/>
      <c r="BD50" s="4"/>
      <c r="BE50" s="4"/>
      <c r="BF50" s="4"/>
      <c r="BG50" s="4"/>
      <c r="BH50" s="4"/>
      <c r="BI50" s="416">
        <f t="shared" si="19"/>
        <v>38</v>
      </c>
      <c r="BJ50" s="49" t="s">
        <v>206</v>
      </c>
      <c r="BK50" s="159"/>
      <c r="BL50" s="41"/>
      <c r="BM50" s="419">
        <f>-SUM(BL49:BM49)</f>
        <v>34156.472365063768</v>
      </c>
      <c r="BN50" s="121"/>
      <c r="BO50" s="121"/>
    </row>
    <row r="51" spans="1:85" ht="13.5" thickTop="1">
      <c r="A51" s="9"/>
      <c r="B51" s="121"/>
      <c r="C51" s="121"/>
      <c r="D51" s="121"/>
      <c r="E51" s="121"/>
      <c r="F51" s="121"/>
      <c r="G51" s="121"/>
      <c r="L51" s="121"/>
      <c r="M51" s="121"/>
      <c r="N51" s="121"/>
      <c r="O51" s="121"/>
      <c r="P51" s="434" t="s">
        <v>513</v>
      </c>
      <c r="Q51" s="434" t="s">
        <v>513</v>
      </c>
      <c r="R51" s="434" t="s">
        <v>513</v>
      </c>
      <c r="S51" s="434" t="s">
        <v>513</v>
      </c>
      <c r="T51" s="71"/>
      <c r="U51" s="9">
        <f t="shared" si="18"/>
        <v>39</v>
      </c>
      <c r="V51" s="151"/>
      <c r="Z51" s="9">
        <f t="shared" si="20"/>
        <v>39</v>
      </c>
      <c r="AA51" s="49" t="s">
        <v>868</v>
      </c>
      <c r="AB51" s="41">
        <v>-1658222.0604590874</v>
      </c>
      <c r="AC51" s="41">
        <v>-1381851.7170492394</v>
      </c>
      <c r="AD51" s="41">
        <f t="shared" si="17"/>
        <v>276370.34340984793</v>
      </c>
      <c r="AE51" s="432"/>
      <c r="AO51" s="4"/>
      <c r="AP51" s="4"/>
      <c r="AQ51" s="4"/>
      <c r="AR51" s="4"/>
      <c r="AS51" s="4"/>
      <c r="AT51" s="4"/>
      <c r="AU51" s="4"/>
      <c r="AV51" s="4"/>
      <c r="AW51" s="4"/>
      <c r="AX51" s="4"/>
      <c r="AY51" s="4"/>
      <c r="AZ51" s="4"/>
      <c r="BA51" s="121"/>
      <c r="BB51" s="121"/>
      <c r="BC51" s="121"/>
      <c r="BD51" s="4"/>
      <c r="BE51" s="4"/>
      <c r="BF51" s="4"/>
      <c r="BG51" s="4"/>
      <c r="BH51" s="4"/>
      <c r="BI51" s="416">
        <f t="shared" si="19"/>
        <v>39</v>
      </c>
      <c r="BM51" s="12" t="str">
        <f>BM1</f>
        <v>Exh. MCC-2r</v>
      </c>
      <c r="BN51" s="121"/>
      <c r="BO51" s="121"/>
    </row>
    <row r="52" spans="1:85" ht="13.5" thickBot="1">
      <c r="A52" s="9"/>
      <c r="B52" s="121"/>
      <c r="C52" s="121"/>
      <c r="D52" s="121"/>
      <c r="E52" s="121"/>
      <c r="F52" s="121"/>
      <c r="G52" s="121"/>
      <c r="L52" s="121"/>
      <c r="M52" s="121"/>
      <c r="N52" s="121"/>
      <c r="O52" s="121"/>
      <c r="P52" s="434" t="s">
        <v>513</v>
      </c>
      <c r="Q52" s="435"/>
      <c r="R52" s="434"/>
      <c r="S52" s="434" t="s">
        <v>513</v>
      </c>
      <c r="T52" s="71"/>
      <c r="U52" s="9">
        <f t="shared" si="18"/>
        <v>40</v>
      </c>
      <c r="V52" s="151"/>
      <c r="Z52" s="9">
        <f t="shared" si="20"/>
        <v>40</v>
      </c>
      <c r="AA52" s="49" t="s">
        <v>869</v>
      </c>
      <c r="AB52" s="41">
        <v>3394820.4299999997</v>
      </c>
      <c r="AC52" s="41">
        <v>3786307.8400000003</v>
      </c>
      <c r="AD52" s="41">
        <f t="shared" si="17"/>
        <v>391487.41000000061</v>
      </c>
      <c r="AF52" s="4"/>
      <c r="AG52" s="4"/>
      <c r="AH52" s="4"/>
      <c r="AI52" s="4"/>
      <c r="AO52" s="4"/>
      <c r="AP52" s="4"/>
      <c r="AQ52" s="4"/>
      <c r="AR52" s="4"/>
      <c r="AS52" s="4"/>
      <c r="AT52" s="4"/>
      <c r="AU52" s="4"/>
      <c r="AV52" s="4"/>
      <c r="AW52" s="4"/>
      <c r="AX52" s="4"/>
      <c r="AY52" s="4"/>
      <c r="AZ52" s="4"/>
      <c r="BA52" s="121"/>
      <c r="BB52" s="121"/>
      <c r="BC52" s="121"/>
      <c r="BD52" s="4"/>
      <c r="BE52" s="4"/>
      <c r="BF52" s="4"/>
      <c r="BG52" s="4"/>
      <c r="BH52" s="4"/>
      <c r="BI52" s="416">
        <f t="shared" si="19"/>
        <v>40</v>
      </c>
      <c r="BM52" s="12" t="s">
        <v>514</v>
      </c>
      <c r="BN52" s="121"/>
      <c r="BO52" s="121"/>
      <c r="CC52" s="432"/>
    </row>
    <row r="53" spans="1:85" ht="13.5" thickBot="1">
      <c r="A53" s="9"/>
      <c r="B53" s="121"/>
      <c r="C53" s="121"/>
      <c r="D53" s="121"/>
      <c r="E53" s="121"/>
      <c r="F53" s="121"/>
      <c r="G53" s="121"/>
      <c r="L53" s="121"/>
      <c r="M53" s="121"/>
      <c r="N53" s="121"/>
      <c r="O53" s="121"/>
      <c r="P53" s="434" t="s">
        <v>513</v>
      </c>
      <c r="Q53" s="435"/>
      <c r="R53" s="434"/>
      <c r="S53" s="434" t="s">
        <v>513</v>
      </c>
      <c r="T53" s="71"/>
      <c r="U53" s="9">
        <f t="shared" si="18"/>
        <v>41</v>
      </c>
      <c r="V53" s="433" t="s">
        <v>512</v>
      </c>
      <c r="Z53" s="9">
        <f t="shared" si="20"/>
        <v>41</v>
      </c>
      <c r="AA53" s="49" t="s">
        <v>511</v>
      </c>
      <c r="AB53" s="184">
        <f>SUM(AB37:AB52)</f>
        <v>15532986.914020382</v>
      </c>
      <c r="AC53" s="184">
        <f>SUM(AC37:AC52)+BB23</f>
        <v>14356593.326168342</v>
      </c>
      <c r="AD53" s="184">
        <f>SUM(AD37:AD52)</f>
        <v>-2671095.3099230588</v>
      </c>
      <c r="AF53" s="4"/>
      <c r="AG53" s="4"/>
      <c r="AH53" s="4"/>
      <c r="AI53" s="4"/>
      <c r="AO53" s="4"/>
      <c r="AP53" s="4"/>
      <c r="AQ53" s="4"/>
      <c r="AR53" s="4"/>
      <c r="AS53" s="4"/>
      <c r="AT53" s="4"/>
      <c r="AU53" s="4"/>
      <c r="AV53" s="4"/>
      <c r="AW53" s="4"/>
      <c r="AX53" s="4"/>
      <c r="AY53" s="4"/>
      <c r="AZ53" s="4"/>
      <c r="BA53" s="121"/>
      <c r="BB53" s="121"/>
      <c r="BC53" s="121"/>
      <c r="BD53" s="4"/>
      <c r="BE53" s="4"/>
      <c r="BF53" s="4"/>
      <c r="BG53" s="4"/>
      <c r="BH53" s="4"/>
      <c r="BI53" s="416">
        <f t="shared" si="19"/>
        <v>41</v>
      </c>
      <c r="BJ53" s="3" t="s">
        <v>510</v>
      </c>
      <c r="BL53" s="123"/>
      <c r="BM53" s="413">
        <f>BM4</f>
        <v>14.13</v>
      </c>
      <c r="BN53" s="121"/>
      <c r="BO53" s="121"/>
      <c r="CC53" s="432"/>
      <c r="CG53" s="28"/>
    </row>
    <row r="54" spans="1:85">
      <c r="A54" s="9"/>
      <c r="B54" s="121"/>
      <c r="C54" s="121"/>
      <c r="D54" s="121"/>
      <c r="E54" s="121"/>
      <c r="F54" s="121"/>
      <c r="G54" s="121"/>
      <c r="L54" s="121"/>
      <c r="M54" s="121"/>
      <c r="N54" s="121"/>
      <c r="O54" s="121"/>
      <c r="R54" s="71"/>
      <c r="S54" s="71"/>
      <c r="T54" s="71"/>
      <c r="U54" s="9">
        <f t="shared" si="18"/>
        <v>42</v>
      </c>
      <c r="V54" s="316" t="s">
        <v>509</v>
      </c>
      <c r="Y54" s="424"/>
      <c r="Z54" s="9">
        <f t="shared" si="20"/>
        <v>42</v>
      </c>
      <c r="AA54" s="1"/>
      <c r="AF54" s="4"/>
      <c r="AG54" s="4"/>
      <c r="AH54" s="4"/>
      <c r="AI54" s="4"/>
      <c r="AO54" s="4"/>
      <c r="AP54" s="4"/>
      <c r="AQ54" s="4"/>
      <c r="AR54" s="4"/>
      <c r="AS54" s="4"/>
      <c r="AT54" s="4"/>
      <c r="AU54" s="4"/>
      <c r="AV54" s="4"/>
      <c r="AW54" s="4"/>
      <c r="AX54" s="4"/>
      <c r="AY54" s="4"/>
      <c r="AZ54" s="4"/>
      <c r="BA54" s="121"/>
      <c r="BB54" s="121"/>
      <c r="BC54" s="121"/>
      <c r="BD54" s="4"/>
      <c r="BE54" s="4"/>
      <c r="BF54" s="4"/>
      <c r="BG54" s="4"/>
      <c r="BH54" s="4"/>
      <c r="BI54" s="416">
        <f t="shared" si="19"/>
        <v>42</v>
      </c>
      <c r="BJ54" s="421" t="s">
        <v>508</v>
      </c>
      <c r="BK54" s="42"/>
      <c r="BL54" s="123"/>
      <c r="BM54" s="123"/>
      <c r="BN54" s="121"/>
      <c r="BO54" s="121"/>
      <c r="CC54" s="432"/>
    </row>
    <row r="55" spans="1:85">
      <c r="A55" s="9"/>
      <c r="B55" s="121"/>
      <c r="C55" s="121"/>
      <c r="D55" s="121"/>
      <c r="E55" s="121"/>
      <c r="F55" s="121"/>
      <c r="G55" s="121"/>
      <c r="L55" s="121"/>
      <c r="M55" s="121"/>
      <c r="N55" s="121"/>
      <c r="O55" s="121"/>
      <c r="R55" s="71"/>
      <c r="S55" s="71"/>
      <c r="T55" s="71"/>
      <c r="U55" s="9">
        <f t="shared" si="18"/>
        <v>43</v>
      </c>
      <c r="V55" s="423" t="s">
        <v>507</v>
      </c>
      <c r="W55" s="324">
        <v>58370860</v>
      </c>
      <c r="Y55" s="424"/>
      <c r="Z55" s="9">
        <f t="shared" si="20"/>
        <v>43</v>
      </c>
      <c r="AF55" s="4"/>
      <c r="AG55" s="4"/>
      <c r="AH55" s="4"/>
      <c r="AI55" s="4"/>
      <c r="AO55" s="4"/>
      <c r="AP55" s="4"/>
      <c r="AQ55" s="4"/>
      <c r="AR55" s="4"/>
      <c r="AS55" s="4"/>
      <c r="AT55" s="4"/>
      <c r="AU55" s="4"/>
      <c r="AV55" s="4"/>
      <c r="AW55" s="4"/>
      <c r="AX55" s="4"/>
      <c r="AY55" s="4"/>
      <c r="AZ55" s="4"/>
      <c r="BA55" s="121"/>
      <c r="BB55" s="121"/>
      <c r="BC55" s="121"/>
      <c r="BD55" s="4"/>
      <c r="BE55" s="4"/>
      <c r="BF55" s="4"/>
      <c r="BG55" s="4"/>
      <c r="BH55" s="4"/>
      <c r="BI55" s="416">
        <f t="shared" si="19"/>
        <v>43</v>
      </c>
      <c r="BJ55" s="423" t="s">
        <v>506</v>
      </c>
      <c r="BK55" s="19">
        <v>3862817966.5075002</v>
      </c>
      <c r="BL55" s="19">
        <f t="shared" ref="BL55:BL62" si="21">-ROUND(BK55*$BL$13,0)</f>
        <v>0</v>
      </c>
      <c r="BM55" s="19">
        <f t="shared" ref="BM55:BM62" si="22">SUM(BK55:BL55)</f>
        <v>3862817966.5075002</v>
      </c>
      <c r="BN55" s="121"/>
      <c r="BO55" s="121"/>
    </row>
    <row r="56" spans="1:85">
      <c r="A56" s="9"/>
      <c r="B56" s="121"/>
      <c r="C56" s="121"/>
      <c r="D56" s="121"/>
      <c r="E56" s="121"/>
      <c r="F56" s="121"/>
      <c r="G56" s="121"/>
      <c r="L56" s="121"/>
      <c r="M56" s="121"/>
      <c r="N56" s="121"/>
      <c r="O56" s="121"/>
      <c r="R56" s="71"/>
      <c r="S56" s="71"/>
      <c r="T56" s="71"/>
      <c r="U56" s="9">
        <f t="shared" si="18"/>
        <v>44</v>
      </c>
      <c r="V56" s="423" t="s">
        <v>505</v>
      </c>
      <c r="W56" s="431">
        <f>W50</f>
        <v>-5877031</v>
      </c>
      <c r="X56" s="424"/>
      <c r="Y56" s="424"/>
      <c r="Z56" s="9">
        <f t="shared" si="20"/>
        <v>44</v>
      </c>
      <c r="AA56" s="1"/>
      <c r="AF56" s="4"/>
      <c r="AG56" s="4"/>
      <c r="AH56" s="4"/>
      <c r="AI56" s="4"/>
      <c r="AO56" s="4"/>
      <c r="AP56" s="4"/>
      <c r="AQ56" s="4"/>
      <c r="AR56" s="4"/>
      <c r="AS56" s="4"/>
      <c r="AT56" s="4"/>
      <c r="AU56" s="4"/>
      <c r="AV56" s="4"/>
      <c r="AW56" s="4"/>
      <c r="AX56" s="4"/>
      <c r="AY56" s="4"/>
      <c r="AZ56" s="4"/>
      <c r="BA56" s="121"/>
      <c r="BB56" s="121"/>
      <c r="BC56" s="121"/>
      <c r="BD56" s="4"/>
      <c r="BE56" s="4"/>
      <c r="BF56" s="4"/>
      <c r="BG56" s="4"/>
      <c r="BH56" s="4"/>
      <c r="BI56" s="416">
        <f t="shared" si="19"/>
        <v>44</v>
      </c>
      <c r="BJ56" s="49" t="s">
        <v>504</v>
      </c>
      <c r="BK56" s="79">
        <v>-1615202751.772563</v>
      </c>
      <c r="BL56" s="79">
        <f t="shared" si="21"/>
        <v>0</v>
      </c>
      <c r="BM56" s="79">
        <f t="shared" si="22"/>
        <v>-1615202751.772563</v>
      </c>
      <c r="BN56" s="121"/>
      <c r="BO56" s="121"/>
    </row>
    <row r="57" spans="1:85">
      <c r="A57" s="9"/>
      <c r="B57" s="121"/>
      <c r="C57" s="121"/>
      <c r="D57" s="121"/>
      <c r="E57" s="121"/>
      <c r="F57" s="121"/>
      <c r="G57" s="121"/>
      <c r="L57" s="121"/>
      <c r="M57" s="121"/>
      <c r="N57" s="121"/>
      <c r="O57" s="121"/>
      <c r="R57" s="71"/>
      <c r="S57" s="71"/>
      <c r="T57" s="71"/>
      <c r="U57" s="9">
        <f t="shared" si="18"/>
        <v>45</v>
      </c>
      <c r="V57" s="151" t="s">
        <v>503</v>
      </c>
      <c r="W57" s="431">
        <f>SUM(W55:W56)</f>
        <v>52493829</v>
      </c>
      <c r="X57" s="324">
        <f>W57/6</f>
        <v>8748971.5</v>
      </c>
      <c r="Y57" s="424"/>
      <c r="Z57" s="9">
        <f t="shared" si="20"/>
        <v>45</v>
      </c>
      <c r="AA57" s="158" t="s">
        <v>198</v>
      </c>
      <c r="AC57" s="154"/>
      <c r="AD57" s="137">
        <f>+AD53</f>
        <v>-2671095.3099230588</v>
      </c>
      <c r="AF57" s="4"/>
      <c r="AG57" s="4"/>
      <c r="AH57" s="4"/>
      <c r="AI57" s="4"/>
      <c r="AO57" s="4"/>
      <c r="AP57" s="4"/>
      <c r="AQ57" s="4"/>
      <c r="AR57" s="4"/>
      <c r="AS57" s="4"/>
      <c r="AT57" s="4"/>
      <c r="AU57" s="4"/>
      <c r="AV57" s="4"/>
      <c r="AW57" s="4"/>
      <c r="AX57" s="4"/>
      <c r="AY57" s="4"/>
      <c r="AZ57" s="4"/>
      <c r="BA57" s="121"/>
      <c r="BB57" s="121"/>
      <c r="BC57" s="121"/>
      <c r="BD57" s="4"/>
      <c r="BE57" s="4"/>
      <c r="BF57" s="4"/>
      <c r="BG57" s="4"/>
      <c r="BH57" s="4"/>
      <c r="BI57" s="416">
        <f t="shared" si="19"/>
        <v>45</v>
      </c>
      <c r="BJ57" s="49" t="s">
        <v>502</v>
      </c>
      <c r="BK57" s="79">
        <v>80139253</v>
      </c>
      <c r="BL57" s="79">
        <f t="shared" si="21"/>
        <v>0</v>
      </c>
      <c r="BM57" s="79">
        <f t="shared" si="22"/>
        <v>80139253</v>
      </c>
      <c r="BN57" s="121"/>
      <c r="BO57" s="121"/>
    </row>
    <row r="58" spans="1:85">
      <c r="A58" s="9"/>
      <c r="B58" s="121"/>
      <c r="C58" s="121"/>
      <c r="D58" s="121"/>
      <c r="E58" s="121"/>
      <c r="F58" s="121"/>
      <c r="G58" s="121"/>
      <c r="R58" s="71"/>
      <c r="S58" s="71"/>
      <c r="T58" s="71"/>
      <c r="U58" s="9">
        <f t="shared" si="18"/>
        <v>46</v>
      </c>
      <c r="V58" s="422"/>
      <c r="W58" s="424"/>
      <c r="X58" s="430"/>
      <c r="Y58" s="424"/>
      <c r="Z58" s="9">
        <f t="shared" si="20"/>
        <v>46</v>
      </c>
      <c r="AA58" s="1"/>
      <c r="AC58" s="154"/>
      <c r="AD58" s="270"/>
      <c r="AF58" s="4"/>
      <c r="AG58" s="4"/>
      <c r="AH58" s="4"/>
      <c r="AI58" s="4"/>
      <c r="AO58" s="4"/>
      <c r="AP58" s="55"/>
      <c r="AQ58" s="4"/>
      <c r="AR58" s="4"/>
      <c r="AS58" s="4"/>
      <c r="AT58" s="4"/>
      <c r="AU58" s="55"/>
      <c r="AV58" s="4"/>
      <c r="AW58" s="4"/>
      <c r="AX58" s="4"/>
      <c r="AY58" s="4"/>
      <c r="AZ58" s="55"/>
      <c r="BA58" s="121"/>
      <c r="BB58" s="121"/>
      <c r="BC58" s="121"/>
      <c r="BD58" s="4"/>
      <c r="BE58" s="4"/>
      <c r="BF58" s="4"/>
      <c r="BG58" s="4"/>
      <c r="BH58" s="4"/>
      <c r="BI58" s="416">
        <f t="shared" si="19"/>
        <v>46</v>
      </c>
      <c r="BJ58" s="49" t="s">
        <v>501</v>
      </c>
      <c r="BK58" s="79">
        <v>-9933315</v>
      </c>
      <c r="BL58" s="79">
        <f t="shared" si="21"/>
        <v>0</v>
      </c>
      <c r="BM58" s="79">
        <f t="shared" si="22"/>
        <v>-9933315</v>
      </c>
      <c r="BN58" s="121"/>
      <c r="BO58" s="121"/>
    </row>
    <row r="59" spans="1:85">
      <c r="A59" s="9"/>
      <c r="B59" s="121"/>
      <c r="C59" s="121"/>
      <c r="D59" s="121"/>
      <c r="E59" s="121"/>
      <c r="F59" s="121"/>
      <c r="G59" s="121"/>
      <c r="R59" s="71"/>
      <c r="S59" s="71"/>
      <c r="T59" s="71"/>
      <c r="U59" s="9">
        <f t="shared" si="18"/>
        <v>47</v>
      </c>
      <c r="V59" s="151" t="s">
        <v>500</v>
      </c>
      <c r="W59" s="424"/>
      <c r="X59" s="324">
        <f>X41+X48+X57</f>
        <v>8748971.5</v>
      </c>
      <c r="Y59" s="424"/>
      <c r="Z59" s="9">
        <f t="shared" si="20"/>
        <v>47</v>
      </c>
      <c r="AA59" s="1" t="s">
        <v>161</v>
      </c>
      <c r="AC59" s="154">
        <v>0.35</v>
      </c>
      <c r="AD59" s="231">
        <f>-AD53*AC59</f>
        <v>934883.35847307055</v>
      </c>
      <c r="AF59" s="4"/>
      <c r="AG59" s="4"/>
      <c r="AH59" s="4"/>
      <c r="AI59" s="4"/>
      <c r="AO59" s="4"/>
      <c r="AP59" s="427"/>
      <c r="AQ59" s="4"/>
      <c r="AR59" s="4"/>
      <c r="AS59" s="4"/>
      <c r="AT59" s="4"/>
      <c r="AU59" s="427"/>
      <c r="AV59" s="4"/>
      <c r="AW59" s="4"/>
      <c r="AX59" s="4"/>
      <c r="AY59" s="4"/>
      <c r="AZ59" s="427"/>
      <c r="BA59" s="121"/>
      <c r="BB59" s="121"/>
      <c r="BC59" s="121"/>
      <c r="BD59" s="4"/>
      <c r="BE59" s="4"/>
      <c r="BF59" s="4"/>
      <c r="BG59" s="4"/>
      <c r="BH59" s="4"/>
      <c r="BI59" s="416">
        <f t="shared" si="19"/>
        <v>47</v>
      </c>
      <c r="BJ59" s="423" t="s">
        <v>499</v>
      </c>
      <c r="BK59" s="79">
        <v>2908282.4799999148</v>
      </c>
      <c r="BL59" s="79">
        <f t="shared" si="21"/>
        <v>0</v>
      </c>
      <c r="BM59" s="79">
        <f t="shared" si="22"/>
        <v>2908282.4799999148</v>
      </c>
      <c r="BN59" s="121"/>
      <c r="BO59" s="121"/>
    </row>
    <row r="60" spans="1:85">
      <c r="A60" s="9"/>
      <c r="B60" s="121"/>
      <c r="C60" s="121"/>
      <c r="D60" s="121"/>
      <c r="E60" s="121"/>
      <c r="F60" s="121"/>
      <c r="G60" s="121"/>
      <c r="R60" s="71"/>
      <c r="S60" s="71"/>
      <c r="T60" s="71"/>
      <c r="U60" s="9">
        <f t="shared" si="18"/>
        <v>48</v>
      </c>
      <c r="V60" s="151" t="s">
        <v>498</v>
      </c>
      <c r="W60" s="424"/>
      <c r="X60" s="324">
        <v>15477396</v>
      </c>
      <c r="Y60" s="424"/>
      <c r="Z60" s="9">
        <f t="shared" si="20"/>
        <v>48</v>
      </c>
      <c r="AA60" s="1"/>
      <c r="AF60" s="4"/>
      <c r="AG60" s="4"/>
      <c r="AH60" s="4"/>
      <c r="AI60" s="4"/>
      <c r="AO60" s="4"/>
      <c r="AP60" s="427"/>
      <c r="AQ60" s="4"/>
      <c r="AR60" s="4"/>
      <c r="AS60" s="4"/>
      <c r="AT60" s="4"/>
      <c r="AU60" s="427"/>
      <c r="AV60" s="4"/>
      <c r="AW60" s="4"/>
      <c r="AX60" s="4"/>
      <c r="AY60" s="4"/>
      <c r="AZ60" s="427"/>
      <c r="BA60" s="121"/>
      <c r="BB60" s="121"/>
      <c r="BC60" s="121"/>
      <c r="BD60" s="4"/>
      <c r="BE60" s="4"/>
      <c r="BF60" s="4"/>
      <c r="BG60" s="4"/>
      <c r="BH60" s="4"/>
      <c r="BI60" s="416">
        <f t="shared" si="19"/>
        <v>48</v>
      </c>
      <c r="BJ60" s="423" t="s">
        <v>497</v>
      </c>
      <c r="BK60" s="79">
        <v>858922.41599999997</v>
      </c>
      <c r="BL60" s="79">
        <f t="shared" si="21"/>
        <v>0</v>
      </c>
      <c r="BM60" s="79">
        <f t="shared" si="22"/>
        <v>858922.41599999997</v>
      </c>
      <c r="BN60" s="121"/>
      <c r="BO60" s="121"/>
    </row>
    <row r="61" spans="1:85" ht="13.5" thickBot="1">
      <c r="A61" s="9"/>
      <c r="B61" s="121"/>
      <c r="C61" s="121"/>
      <c r="D61" s="121"/>
      <c r="E61" s="121"/>
      <c r="F61" s="121"/>
      <c r="G61" s="121"/>
      <c r="R61" s="71"/>
      <c r="S61" s="71"/>
      <c r="T61" s="71"/>
      <c r="U61" s="9">
        <f t="shared" si="18"/>
        <v>49</v>
      </c>
      <c r="V61" s="151"/>
      <c r="W61" s="424"/>
      <c r="X61" s="429"/>
      <c r="Y61" s="424"/>
      <c r="Z61" s="9">
        <f t="shared" si="20"/>
        <v>49</v>
      </c>
      <c r="AA61" s="1" t="s">
        <v>158</v>
      </c>
      <c r="AD61" s="428">
        <f>-AD57-AD59</f>
        <v>1736211.9514499884</v>
      </c>
      <c r="AF61" s="4"/>
      <c r="AG61" s="4"/>
      <c r="AH61" s="4"/>
      <c r="AI61" s="4"/>
      <c r="AO61" s="4"/>
      <c r="AP61" s="427"/>
      <c r="AQ61" s="4"/>
      <c r="AR61" s="4"/>
      <c r="AS61" s="4"/>
      <c r="AT61" s="4"/>
      <c r="AU61" s="427"/>
      <c r="AV61" s="4"/>
      <c r="AW61" s="4"/>
      <c r="AX61" s="4"/>
      <c r="AY61" s="4"/>
      <c r="AZ61" s="427"/>
      <c r="BA61" s="121"/>
      <c r="BB61" s="121"/>
      <c r="BC61" s="121"/>
      <c r="BD61" s="4"/>
      <c r="BE61" s="4"/>
      <c r="BF61" s="4"/>
      <c r="BG61" s="4"/>
      <c r="BH61" s="4"/>
      <c r="BI61" s="416">
        <f t="shared" si="19"/>
        <v>49</v>
      </c>
      <c r="BJ61" s="423" t="s">
        <v>496</v>
      </c>
      <c r="BK61" s="79">
        <v>281543145</v>
      </c>
      <c r="BL61" s="79">
        <f t="shared" si="21"/>
        <v>0</v>
      </c>
      <c r="BM61" s="79">
        <f t="shared" si="22"/>
        <v>281543145</v>
      </c>
      <c r="BN61" s="121"/>
      <c r="BO61" s="121"/>
    </row>
    <row r="62" spans="1:85" ht="13.5" thickTop="1">
      <c r="A62" s="9"/>
      <c r="B62" s="121"/>
      <c r="C62" s="121"/>
      <c r="D62" s="121"/>
      <c r="E62" s="121"/>
      <c r="F62" s="121"/>
      <c r="G62" s="121"/>
      <c r="R62" s="71"/>
      <c r="S62" s="71"/>
      <c r="T62" s="71"/>
      <c r="U62" s="9">
        <f t="shared" si="18"/>
        <v>50</v>
      </c>
      <c r="V62" s="210" t="s">
        <v>230</v>
      </c>
      <c r="W62" s="424"/>
      <c r="X62" s="424"/>
      <c r="Y62" s="324">
        <f>X59-X60</f>
        <v>-6728424.5</v>
      </c>
      <c r="Z62" s="9">
        <f t="shared" si="20"/>
        <v>50</v>
      </c>
      <c r="AA62" s="121"/>
      <c r="AB62" s="123"/>
      <c r="AC62" s="123"/>
      <c r="AD62" s="123"/>
      <c r="AF62" s="4"/>
      <c r="AG62" s="4"/>
      <c r="AH62" s="4"/>
      <c r="AI62" s="4"/>
      <c r="AO62" s="4"/>
      <c r="AP62" s="427"/>
      <c r="AQ62" s="4"/>
      <c r="AR62" s="4"/>
      <c r="AS62" s="4"/>
      <c r="AT62" s="4"/>
      <c r="AU62" s="427"/>
      <c r="AV62" s="4"/>
      <c r="AW62" s="4"/>
      <c r="AX62" s="4"/>
      <c r="AY62" s="4"/>
      <c r="AZ62" s="427"/>
      <c r="BA62" s="121"/>
      <c r="BB62" s="121"/>
      <c r="BC62" s="121"/>
      <c r="BD62" s="4"/>
      <c r="BE62" s="4"/>
      <c r="BF62" s="4"/>
      <c r="BG62" s="4"/>
      <c r="BH62" s="4"/>
      <c r="BI62" s="416">
        <f t="shared" si="19"/>
        <v>50</v>
      </c>
      <c r="BJ62" s="49" t="s">
        <v>495</v>
      </c>
      <c r="BK62" s="79">
        <v>-113037112</v>
      </c>
      <c r="BL62" s="79">
        <f t="shared" si="21"/>
        <v>0</v>
      </c>
      <c r="BM62" s="79">
        <f t="shared" si="22"/>
        <v>-113037112</v>
      </c>
      <c r="BN62" s="121"/>
      <c r="BO62" s="121"/>
    </row>
    <row r="63" spans="1:85">
      <c r="A63" s="9"/>
      <c r="B63" s="121"/>
      <c r="C63" s="121"/>
      <c r="D63" s="121"/>
      <c r="E63" s="121"/>
      <c r="F63" s="121"/>
      <c r="G63" s="121"/>
      <c r="R63" s="71"/>
      <c r="S63" s="71"/>
      <c r="T63" s="71"/>
      <c r="U63" s="9">
        <f t="shared" si="18"/>
        <v>51</v>
      </c>
      <c r="V63" s="151"/>
      <c r="W63" s="424"/>
      <c r="X63" s="424"/>
      <c r="Y63" s="424"/>
      <c r="Z63" s="9">
        <f t="shared" si="20"/>
        <v>51</v>
      </c>
      <c r="AA63" s="121"/>
      <c r="AB63" s="123"/>
      <c r="AC63" s="123"/>
      <c r="AD63" s="123"/>
      <c r="AF63" s="4"/>
      <c r="AG63" s="4"/>
      <c r="AH63" s="4"/>
      <c r="AI63" s="4"/>
      <c r="AO63" s="4"/>
      <c r="AP63" s="427"/>
      <c r="AQ63" s="4"/>
      <c r="AR63" s="4"/>
      <c r="AS63" s="4"/>
      <c r="AT63" s="4"/>
      <c r="AU63" s="427"/>
      <c r="AV63" s="4"/>
      <c r="AW63" s="4"/>
      <c r="AX63" s="4"/>
      <c r="AY63" s="4"/>
      <c r="AZ63" s="427"/>
      <c r="BA63" s="4"/>
      <c r="BB63" s="4"/>
      <c r="BC63" s="4"/>
      <c r="BD63" s="4"/>
      <c r="BE63" s="4"/>
      <c r="BF63" s="4"/>
      <c r="BG63" s="4"/>
      <c r="BH63" s="4"/>
      <c r="BI63" s="416">
        <f t="shared" si="19"/>
        <v>51</v>
      </c>
      <c r="BJ63" s="151" t="s">
        <v>494</v>
      </c>
      <c r="BK63" s="65">
        <f>SUM(BK55:BK62)</f>
        <v>2490094390.6309371</v>
      </c>
      <c r="BL63" s="65">
        <f>SUM(BL55:BL62)</f>
        <v>0</v>
      </c>
      <c r="BM63" s="65">
        <f>SUM(BM55:BM62)</f>
        <v>2490094390.6309371</v>
      </c>
      <c r="BN63" s="121"/>
      <c r="BO63" s="121"/>
    </row>
    <row r="64" spans="1:85">
      <c r="A64" s="9"/>
      <c r="B64" s="121"/>
      <c r="C64" s="121"/>
      <c r="D64" s="121"/>
      <c r="E64" s="121"/>
      <c r="F64" s="121"/>
      <c r="G64" s="121"/>
      <c r="R64" s="71"/>
      <c r="S64" s="71"/>
      <c r="T64" s="71"/>
      <c r="U64" s="9">
        <f t="shared" si="18"/>
        <v>52</v>
      </c>
      <c r="V64" s="129" t="s">
        <v>493</v>
      </c>
      <c r="W64" s="424"/>
      <c r="X64" s="424"/>
      <c r="Y64" s="324">
        <f>Y28+Y62</f>
        <v>981068.18499999493</v>
      </c>
      <c r="Z64" s="9">
        <f t="shared" si="20"/>
        <v>52</v>
      </c>
      <c r="AA64" s="171" t="s">
        <v>492</v>
      </c>
      <c r="AB64" s="123"/>
      <c r="AC64" s="123"/>
      <c r="AD64" s="123"/>
      <c r="AF64" s="4"/>
      <c r="AG64" s="4"/>
      <c r="AH64" s="4"/>
      <c r="AI64" s="4"/>
      <c r="AO64" s="4"/>
      <c r="AP64" s="427"/>
      <c r="AQ64" s="4"/>
      <c r="AR64" s="4"/>
      <c r="AS64" s="4"/>
      <c r="AT64" s="4"/>
      <c r="AU64" s="427"/>
      <c r="AV64" s="4"/>
      <c r="AW64" s="4"/>
      <c r="AX64" s="4"/>
      <c r="AY64" s="4"/>
      <c r="AZ64" s="427"/>
      <c r="BA64" s="4"/>
      <c r="BB64" s="4"/>
      <c r="BC64" s="4"/>
      <c r="BD64" s="4"/>
      <c r="BE64" s="4"/>
      <c r="BF64" s="4"/>
      <c r="BG64" s="4"/>
      <c r="BH64" s="4"/>
      <c r="BI64" s="416">
        <f t="shared" si="19"/>
        <v>52</v>
      </c>
      <c r="BN64" s="121"/>
      <c r="BO64" s="121"/>
    </row>
    <row r="65" spans="1:67">
      <c r="A65" s="9"/>
      <c r="B65" s="121"/>
      <c r="C65" s="121"/>
      <c r="D65" s="121"/>
      <c r="E65" s="121"/>
      <c r="F65" s="121"/>
      <c r="G65" s="121"/>
      <c r="R65" s="71"/>
      <c r="S65" s="71"/>
      <c r="T65" s="71"/>
      <c r="U65" s="9">
        <f t="shared" si="18"/>
        <v>53</v>
      </c>
      <c r="V65" s="181"/>
      <c r="W65" s="424"/>
      <c r="X65" s="424"/>
      <c r="Y65" s="424"/>
      <c r="Z65" s="9">
        <f t="shared" si="20"/>
        <v>53</v>
      </c>
      <c r="AA65" s="171" t="s">
        <v>491</v>
      </c>
      <c r="AB65" s="123"/>
      <c r="AC65" s="123"/>
      <c r="AD65" s="123"/>
      <c r="AF65" s="4"/>
      <c r="AG65" s="4"/>
      <c r="AH65" s="4"/>
      <c r="AI65" s="4"/>
      <c r="AO65" s="4"/>
      <c r="AP65" s="427"/>
      <c r="AQ65" s="4"/>
      <c r="AR65" s="4"/>
      <c r="AS65" s="4"/>
      <c r="AT65" s="4"/>
      <c r="AU65" s="427"/>
      <c r="AV65" s="4"/>
      <c r="AW65" s="4"/>
      <c r="AX65" s="4"/>
      <c r="AY65" s="4"/>
      <c r="AZ65" s="427"/>
      <c r="BA65" s="4"/>
      <c r="BB65" s="4"/>
      <c r="BC65" s="4"/>
      <c r="BD65" s="4"/>
      <c r="BE65" s="4"/>
      <c r="BF65" s="4"/>
      <c r="BG65" s="4"/>
      <c r="BH65" s="4"/>
      <c r="BI65" s="416">
        <f t="shared" si="19"/>
        <v>53</v>
      </c>
      <c r="BN65" s="121"/>
      <c r="BO65" s="121"/>
    </row>
    <row r="66" spans="1:67">
      <c r="A66" s="9"/>
      <c r="B66" s="121"/>
      <c r="C66" s="121"/>
      <c r="D66" s="121"/>
      <c r="E66" s="121"/>
      <c r="F66" s="121"/>
      <c r="G66" s="121"/>
      <c r="R66" s="71"/>
      <c r="S66" s="71"/>
      <c r="T66" s="71"/>
      <c r="U66" s="9">
        <f t="shared" si="18"/>
        <v>54</v>
      </c>
      <c r="V66" s="181" t="s">
        <v>490</v>
      </c>
      <c r="W66" s="424"/>
      <c r="X66" s="426">
        <f>k_FITrate</f>
        <v>0.35</v>
      </c>
      <c r="Y66" s="136">
        <f>-Y64*X66</f>
        <v>-343373.8647499982</v>
      </c>
      <c r="Z66" s="9">
        <f t="shared" si="20"/>
        <v>54</v>
      </c>
      <c r="AA66" s="171" t="s">
        <v>489</v>
      </c>
      <c r="AB66" s="121"/>
      <c r="AC66" s="121"/>
      <c r="AD66" s="121"/>
      <c r="AF66" s="4"/>
      <c r="AG66" s="4"/>
      <c r="AH66" s="4"/>
      <c r="AI66" s="4"/>
      <c r="AO66" s="4"/>
      <c r="AP66" s="64"/>
      <c r="AQ66" s="4"/>
      <c r="AR66" s="4"/>
      <c r="AS66" s="4"/>
      <c r="AT66" s="4"/>
      <c r="AU66" s="64"/>
      <c r="AV66" s="4"/>
      <c r="AW66" s="4"/>
      <c r="AX66" s="4"/>
      <c r="AY66" s="4"/>
      <c r="AZ66" s="64"/>
      <c r="BA66" s="4"/>
      <c r="BB66" s="4"/>
      <c r="BC66" s="4"/>
      <c r="BD66" s="4"/>
      <c r="BE66" s="121"/>
      <c r="BF66" s="121"/>
      <c r="BG66" s="121"/>
      <c r="BH66" s="121"/>
      <c r="BI66" s="416">
        <f t="shared" si="19"/>
        <v>54</v>
      </c>
      <c r="BJ66" s="421" t="s">
        <v>488</v>
      </c>
      <c r="BK66" s="42"/>
      <c r="BL66" s="42"/>
      <c r="BM66" s="151"/>
      <c r="BN66" s="121"/>
      <c r="BO66" s="121"/>
    </row>
    <row r="67" spans="1:67">
      <c r="A67" s="9"/>
      <c r="B67" s="121"/>
      <c r="C67" s="121"/>
      <c r="D67" s="121"/>
      <c r="E67" s="121"/>
      <c r="F67" s="121"/>
      <c r="G67" s="121"/>
      <c r="R67" s="71"/>
      <c r="S67" s="71"/>
      <c r="T67" s="71"/>
      <c r="U67" s="9">
        <f t="shared" si="18"/>
        <v>55</v>
      </c>
      <c r="V67" s="181"/>
      <c r="W67" s="424"/>
      <c r="X67" s="424"/>
      <c r="Y67" s="424"/>
      <c r="Z67" s="9"/>
      <c r="AA67" s="121"/>
      <c r="AB67" s="121"/>
      <c r="AC67" s="121"/>
      <c r="AD67" s="121"/>
      <c r="AF67" s="4"/>
      <c r="AG67" s="4"/>
      <c r="AH67" s="4"/>
      <c r="AI67" s="4"/>
      <c r="AO67" s="4"/>
      <c r="AP67" s="4"/>
      <c r="AQ67" s="4"/>
      <c r="AR67" s="4"/>
      <c r="AS67" s="4"/>
      <c r="AT67" s="4"/>
      <c r="AU67" s="4"/>
      <c r="AV67" s="4"/>
      <c r="AW67" s="121"/>
      <c r="AX67" s="121"/>
      <c r="AY67" s="4"/>
      <c r="AZ67" s="4"/>
      <c r="BA67" s="4"/>
      <c r="BB67" s="121"/>
      <c r="BC67" s="121"/>
      <c r="BD67" s="121"/>
      <c r="BE67" s="125"/>
      <c r="BF67" s="125"/>
      <c r="BG67" s="125"/>
      <c r="BI67" s="416">
        <f t="shared" si="19"/>
        <v>55</v>
      </c>
      <c r="BJ67" s="423" t="s">
        <v>487</v>
      </c>
      <c r="BK67" s="42">
        <v>-513042623.97680533</v>
      </c>
      <c r="BL67" s="79">
        <f>-ROUND(BK67*$BL$13,0)</f>
        <v>0</v>
      </c>
      <c r="BM67" s="42">
        <f>SUM(BK67:BL67)</f>
        <v>-513042623.97680533</v>
      </c>
      <c r="BN67" s="121"/>
      <c r="BO67" s="121"/>
    </row>
    <row r="68" spans="1:67" ht="13.5" thickBot="1">
      <c r="A68" s="9"/>
      <c r="B68" s="126"/>
      <c r="C68" s="121"/>
      <c r="D68" s="121"/>
      <c r="F68" s="125"/>
      <c r="G68" s="125"/>
      <c r="H68" s="125"/>
      <c r="I68" s="125"/>
      <c r="K68" s="125"/>
      <c r="L68" s="125"/>
      <c r="M68" s="125"/>
      <c r="N68" s="125"/>
      <c r="P68" s="125"/>
      <c r="Q68" s="125"/>
      <c r="R68" s="125"/>
      <c r="S68" s="125"/>
      <c r="U68" s="9">
        <f t="shared" si="18"/>
        <v>56</v>
      </c>
      <c r="V68" s="181" t="s">
        <v>158</v>
      </c>
      <c r="W68" s="422"/>
      <c r="X68" s="424"/>
      <c r="Y68" s="425">
        <f>-Y64-Y66</f>
        <v>-637694.32024999673</v>
      </c>
      <c r="Z68" s="125"/>
      <c r="AA68" s="125"/>
      <c r="AB68" s="125"/>
      <c r="AC68" s="125"/>
      <c r="AE68" s="125"/>
      <c r="AF68" s="125"/>
      <c r="AG68" s="125"/>
      <c r="AH68" s="125"/>
      <c r="AJ68" s="125"/>
      <c r="AK68" s="125"/>
      <c r="AL68" s="125"/>
      <c r="AM68" s="125"/>
      <c r="AO68" s="125"/>
      <c r="AP68" s="125"/>
      <c r="AQ68" s="125"/>
      <c r="AR68" s="125"/>
      <c r="AT68" s="125"/>
      <c r="AU68" s="125"/>
      <c r="AV68" s="125"/>
      <c r="AW68" s="125"/>
      <c r="AY68" s="125"/>
      <c r="AZ68" s="125"/>
      <c r="BA68" s="125"/>
      <c r="BB68" s="125"/>
      <c r="BD68" s="125"/>
      <c r="BE68" s="121"/>
      <c r="BF68" s="121"/>
      <c r="BG68" s="121"/>
      <c r="BI68" s="416">
        <f t="shared" si="19"/>
        <v>56</v>
      </c>
      <c r="BJ68" s="49" t="s">
        <v>486</v>
      </c>
      <c r="BK68" s="42">
        <v>48295905.063545831</v>
      </c>
      <c r="BL68" s="79">
        <f>-ROUND(BK68*$BL$13,0)</f>
        <v>0</v>
      </c>
      <c r="BM68" s="42">
        <f>SUM(BK68:BL68)</f>
        <v>48295905.063545831</v>
      </c>
      <c r="BN68" s="121"/>
      <c r="BO68" s="121"/>
    </row>
    <row r="69" spans="1:67" ht="13.5" thickTop="1">
      <c r="A69" s="9"/>
      <c r="B69" s="121"/>
      <c r="C69" s="121"/>
      <c r="D69" s="121"/>
      <c r="F69" s="121"/>
      <c r="G69" s="121"/>
      <c r="H69" s="121"/>
      <c r="I69" s="121"/>
      <c r="K69" s="121"/>
      <c r="L69" s="121"/>
      <c r="M69" s="121"/>
      <c r="N69" s="121"/>
      <c r="P69" s="121"/>
      <c r="Q69" s="121"/>
      <c r="R69" s="121"/>
      <c r="S69" s="121"/>
      <c r="U69" s="415"/>
      <c r="V69" s="29" t="s">
        <v>186</v>
      </c>
      <c r="W69" s="422"/>
      <c r="X69" s="422"/>
      <c r="Y69" s="422"/>
      <c r="Z69" s="121"/>
      <c r="AA69" s="121"/>
      <c r="AB69" s="121"/>
      <c r="AC69" s="121"/>
      <c r="AE69" s="121"/>
      <c r="AF69" s="121"/>
      <c r="AG69" s="121"/>
      <c r="AH69" s="121"/>
      <c r="AJ69" s="121"/>
      <c r="AK69" s="121"/>
      <c r="AL69" s="121"/>
      <c r="AM69" s="121"/>
      <c r="AO69" s="121"/>
      <c r="AP69" s="121"/>
      <c r="AQ69" s="121"/>
      <c r="AR69" s="121"/>
      <c r="AT69" s="121"/>
      <c r="AU69" s="121"/>
      <c r="AV69" s="121"/>
      <c r="AW69" s="121"/>
      <c r="AY69" s="121"/>
      <c r="AZ69" s="121"/>
      <c r="BA69" s="121"/>
      <c r="BB69" s="121"/>
      <c r="BD69" s="121"/>
      <c r="BE69" s="125"/>
      <c r="BF69" s="125"/>
      <c r="BG69" s="125"/>
      <c r="BI69" s="416">
        <f t="shared" si="19"/>
        <v>57</v>
      </c>
      <c r="BJ69" s="49" t="s">
        <v>485</v>
      </c>
      <c r="BK69" s="42"/>
      <c r="BL69" s="79">
        <f>-ROUND(BK69*$BL$13,0)</f>
        <v>0</v>
      </c>
      <c r="BM69" s="42">
        <f>SUM(BK69:BL69)</f>
        <v>0</v>
      </c>
      <c r="BN69" s="121"/>
      <c r="BO69" s="121"/>
    </row>
    <row r="70" spans="1:67">
      <c r="A70" s="9"/>
      <c r="B70" s="126"/>
      <c r="C70" s="121"/>
      <c r="D70" s="121"/>
      <c r="F70" s="125"/>
      <c r="G70" s="125"/>
      <c r="H70" s="125"/>
      <c r="I70" s="125"/>
      <c r="K70" s="125"/>
      <c r="L70" s="125"/>
      <c r="M70" s="125"/>
      <c r="N70" s="125"/>
      <c r="P70" s="125"/>
      <c r="Q70" s="125"/>
      <c r="R70" s="125"/>
      <c r="S70" s="125"/>
      <c r="U70" s="121"/>
      <c r="X70" s="422"/>
      <c r="Y70" s="424"/>
      <c r="Z70" s="125"/>
      <c r="AA70" s="125"/>
      <c r="AB70" s="125"/>
      <c r="AC70" s="125"/>
      <c r="AE70" s="125"/>
      <c r="AF70" s="125"/>
      <c r="AG70" s="125"/>
      <c r="AH70" s="125"/>
      <c r="AJ70" s="125"/>
      <c r="AK70" s="125"/>
      <c r="AL70" s="125"/>
      <c r="AM70" s="125"/>
      <c r="AO70" s="125"/>
      <c r="AP70" s="125"/>
      <c r="AQ70" s="125"/>
      <c r="AR70" s="125"/>
      <c r="AT70" s="125"/>
      <c r="AU70" s="125"/>
      <c r="AV70" s="125"/>
      <c r="AW70" s="125"/>
      <c r="AY70" s="125"/>
      <c r="AZ70" s="125"/>
      <c r="BA70" s="125"/>
      <c r="BB70" s="125"/>
      <c r="BD70" s="125"/>
      <c r="BE70" s="121"/>
      <c r="BF70" s="121"/>
      <c r="BG70" s="121"/>
      <c r="BI70" s="416">
        <f t="shared" si="19"/>
        <v>58</v>
      </c>
      <c r="BJ70" s="49" t="s">
        <v>484</v>
      </c>
      <c r="BK70" s="42"/>
      <c r="BL70" s="79">
        <f>-ROUND(BK70*$BL$13,0)</f>
        <v>0</v>
      </c>
      <c r="BM70" s="42">
        <f>SUM(BK70:BL70)</f>
        <v>0</v>
      </c>
      <c r="BN70" s="121"/>
      <c r="BO70" s="121"/>
    </row>
    <row r="71" spans="1:67">
      <c r="A71" s="9"/>
      <c r="B71" s="121"/>
      <c r="C71" s="121"/>
      <c r="D71" s="121"/>
      <c r="F71" s="121"/>
      <c r="G71" s="121"/>
      <c r="U71" s="415"/>
      <c r="V71" s="415"/>
      <c r="W71" s="415"/>
      <c r="Z71" s="9"/>
      <c r="AA71" s="121"/>
      <c r="AB71" s="121"/>
      <c r="AC71" s="121"/>
      <c r="AF71" s="4"/>
      <c r="AG71" s="4"/>
      <c r="AH71" s="4"/>
      <c r="AO71" s="4"/>
      <c r="AP71" s="4"/>
      <c r="AQ71" s="4"/>
      <c r="AR71" s="4"/>
      <c r="AT71" s="4"/>
      <c r="AU71" s="4"/>
      <c r="AV71" s="4"/>
      <c r="AW71" s="121"/>
      <c r="AY71" s="4"/>
      <c r="AZ71" s="4"/>
      <c r="BA71" s="4"/>
      <c r="BB71" s="121"/>
      <c r="BD71" s="121"/>
      <c r="BE71" s="121"/>
      <c r="BF71" s="121"/>
      <c r="BG71" s="121"/>
      <c r="BI71" s="416">
        <f t="shared" si="19"/>
        <v>59</v>
      </c>
      <c r="BJ71" s="129" t="s">
        <v>182</v>
      </c>
      <c r="BK71" s="65">
        <f>SUM(BK67:BK70)</f>
        <v>-464746718.91325951</v>
      </c>
      <c r="BL71" s="65">
        <f>SUM(BL67:BL70)</f>
        <v>0</v>
      </c>
      <c r="BM71" s="65">
        <f>SUM(BM67:BM70)</f>
        <v>-464746718.91325951</v>
      </c>
      <c r="BN71" s="121"/>
      <c r="BO71" s="121"/>
    </row>
    <row r="72" spans="1:67">
      <c r="A72" s="9"/>
      <c r="B72" s="126"/>
      <c r="C72" s="121"/>
      <c r="D72" s="121"/>
      <c r="F72" s="121"/>
      <c r="G72" s="121"/>
      <c r="H72" s="4"/>
      <c r="I72" s="4"/>
      <c r="V72" s="121"/>
      <c r="W72" s="121"/>
      <c r="X72" s="415"/>
      <c r="Z72" s="121"/>
      <c r="AA72" s="121"/>
      <c r="AB72" s="121"/>
      <c r="AC72" s="121"/>
      <c r="AF72" s="4"/>
      <c r="AG72" s="4"/>
      <c r="AH72" s="4"/>
      <c r="AO72" s="4"/>
      <c r="AP72" s="4"/>
      <c r="AQ72" s="4"/>
      <c r="AR72" s="4"/>
      <c r="AT72" s="4"/>
      <c r="AU72" s="4"/>
      <c r="AV72" s="4"/>
      <c r="AW72" s="121"/>
      <c r="AY72" s="4"/>
      <c r="AZ72" s="4"/>
      <c r="BA72" s="4"/>
      <c r="BB72" s="121"/>
      <c r="BD72" s="121"/>
      <c r="BE72" s="121"/>
      <c r="BF72" s="121"/>
      <c r="BG72" s="121"/>
      <c r="BI72" s="416">
        <f t="shared" si="19"/>
        <v>60</v>
      </c>
      <c r="BJ72" s="423"/>
      <c r="BK72" s="65"/>
      <c r="BL72" s="65"/>
      <c r="BM72" s="65"/>
      <c r="BN72" s="121"/>
      <c r="BO72" s="121"/>
    </row>
    <row r="73" spans="1:67">
      <c r="A73" s="9"/>
      <c r="B73" s="123"/>
      <c r="C73" s="121"/>
      <c r="D73" s="121"/>
      <c r="F73" s="121"/>
      <c r="G73" s="121"/>
      <c r="H73" s="4"/>
      <c r="I73" s="4"/>
      <c r="V73" s="415"/>
      <c r="W73" s="415"/>
      <c r="X73" s="121"/>
      <c r="Z73" s="121"/>
      <c r="AA73" s="121"/>
      <c r="AB73" s="121"/>
      <c r="AC73" s="121"/>
      <c r="AF73" s="4"/>
      <c r="AG73" s="4"/>
      <c r="AH73" s="4"/>
      <c r="AO73" s="4"/>
      <c r="AP73" s="4"/>
      <c r="AQ73" s="4"/>
      <c r="AR73" s="4"/>
      <c r="AT73" s="4"/>
      <c r="AU73" s="4"/>
      <c r="AV73" s="4"/>
      <c r="AW73" s="121"/>
      <c r="AY73" s="4"/>
      <c r="AZ73" s="4"/>
      <c r="BA73" s="4"/>
      <c r="BB73" s="121"/>
      <c r="BD73" s="121"/>
      <c r="BE73" s="4"/>
      <c r="BF73" s="4"/>
      <c r="BG73" s="4"/>
      <c r="BI73" s="416">
        <f t="shared" si="19"/>
        <v>61</v>
      </c>
      <c r="BJ73" s="129" t="s">
        <v>483</v>
      </c>
      <c r="BK73" s="79">
        <f>BK63+BK71</f>
        <v>2025347671.7176776</v>
      </c>
      <c r="BL73" s="79">
        <f>BL63+BL71</f>
        <v>0</v>
      </c>
      <c r="BM73" s="79">
        <f>BM63+BM71</f>
        <v>2025347671.7176776</v>
      </c>
      <c r="BN73" s="121"/>
      <c r="BO73" s="121"/>
    </row>
    <row r="74" spans="1:67">
      <c r="A74" s="9"/>
      <c r="B74" s="126"/>
      <c r="C74" s="121"/>
      <c r="D74" s="121"/>
      <c r="F74" s="121"/>
      <c r="G74" s="121"/>
      <c r="H74" s="4"/>
      <c r="I74" s="4"/>
      <c r="V74" s="422"/>
      <c r="W74" s="422"/>
      <c r="X74" s="415"/>
      <c r="Z74" s="121"/>
      <c r="AA74" s="121"/>
      <c r="AB74" s="121"/>
      <c r="AC74" s="121"/>
      <c r="AF74" s="4"/>
      <c r="AG74" s="4"/>
      <c r="AH74" s="4"/>
      <c r="AO74" s="4"/>
      <c r="AP74" s="4"/>
      <c r="AQ74" s="4"/>
      <c r="AR74" s="4"/>
      <c r="AT74" s="4"/>
      <c r="AU74" s="4"/>
      <c r="AV74" s="4"/>
      <c r="AW74" s="4"/>
      <c r="AY74" s="4"/>
      <c r="AZ74" s="4"/>
      <c r="BA74" s="4"/>
      <c r="BB74" s="4"/>
      <c r="BD74" s="4"/>
      <c r="BE74" s="4"/>
      <c r="BF74" s="4"/>
      <c r="BG74" s="4"/>
      <c r="BH74" s="4"/>
      <c r="BI74" s="416">
        <f t="shared" si="19"/>
        <v>62</v>
      </c>
      <c r="BJ74" s="151"/>
      <c r="BK74" s="151"/>
      <c r="BL74" s="151"/>
      <c r="BM74" s="151"/>
      <c r="BN74" s="121"/>
      <c r="BO74" s="121"/>
    </row>
    <row r="75" spans="1:67">
      <c r="A75" s="9"/>
      <c r="B75" s="121"/>
      <c r="C75" s="121"/>
      <c r="D75" s="121"/>
      <c r="E75" s="121"/>
      <c r="F75" s="121"/>
      <c r="G75" s="121"/>
      <c r="H75" s="4"/>
      <c r="I75" s="4"/>
      <c r="J75" s="4"/>
      <c r="X75" s="422"/>
      <c r="Z75" s="121"/>
      <c r="AA75" s="121"/>
      <c r="AB75" s="121"/>
      <c r="AC75" s="121"/>
      <c r="AD75" s="121"/>
      <c r="AF75" s="4"/>
      <c r="AG75" s="4"/>
      <c r="AH75" s="4"/>
      <c r="AI75" s="4"/>
      <c r="AO75" s="4"/>
      <c r="AP75" s="4"/>
      <c r="AQ75" s="4"/>
      <c r="AR75" s="4"/>
      <c r="AS75" s="4"/>
      <c r="AT75" s="4"/>
      <c r="AU75" s="4"/>
      <c r="AV75" s="4"/>
      <c r="AW75" s="4"/>
      <c r="AX75" s="4"/>
      <c r="AY75" s="4"/>
      <c r="AZ75" s="4"/>
      <c r="BA75" s="4"/>
      <c r="BB75" s="4"/>
      <c r="BC75" s="4"/>
      <c r="BD75" s="4"/>
      <c r="BE75" s="4"/>
      <c r="BF75" s="4"/>
      <c r="BG75" s="4"/>
      <c r="BH75" s="4"/>
      <c r="BI75" s="416">
        <f t="shared" si="19"/>
        <v>63</v>
      </c>
      <c r="BJ75" s="421" t="s">
        <v>482</v>
      </c>
      <c r="BK75" s="151"/>
      <c r="BL75" s="151"/>
      <c r="BM75" s="151"/>
      <c r="BN75" s="121"/>
      <c r="BO75" s="121"/>
    </row>
    <row r="76" spans="1:67">
      <c r="A76" s="9"/>
      <c r="B76" s="121"/>
      <c r="C76" s="121"/>
      <c r="D76" s="121"/>
      <c r="E76" s="121"/>
      <c r="F76" s="121"/>
      <c r="G76" s="121"/>
      <c r="H76" s="4"/>
      <c r="I76" s="4"/>
      <c r="J76" s="4"/>
      <c r="Z76" s="121"/>
      <c r="AA76" s="121"/>
      <c r="AB76" s="121"/>
      <c r="AC76" s="121"/>
      <c r="AD76" s="121"/>
      <c r="AF76" s="4"/>
      <c r="AG76" s="4"/>
      <c r="AH76" s="4"/>
      <c r="AI76" s="4"/>
      <c r="AO76" s="4"/>
      <c r="AP76" s="4"/>
      <c r="AQ76" s="4"/>
      <c r="AR76" s="4"/>
      <c r="AS76" s="4"/>
      <c r="AT76" s="4"/>
      <c r="AU76" s="4"/>
      <c r="AV76" s="4"/>
      <c r="AW76" s="4"/>
      <c r="AX76" s="4"/>
      <c r="AY76" s="4"/>
      <c r="AZ76" s="4"/>
      <c r="BA76" s="4"/>
      <c r="BB76" s="4"/>
      <c r="BC76" s="4"/>
      <c r="BD76" s="4"/>
      <c r="BE76" s="4"/>
      <c r="BF76" s="4"/>
      <c r="BG76" s="4"/>
      <c r="BH76" s="4"/>
      <c r="BI76" s="416">
        <f t="shared" si="19"/>
        <v>64</v>
      </c>
      <c r="BJ76" s="151" t="s">
        <v>481</v>
      </c>
      <c r="BK76" s="79">
        <f>AC29</f>
        <v>-374251.50670083519</v>
      </c>
      <c r="BL76" s="79">
        <f t="shared" ref="BL76:BL93" si="23">-BK76*$BL$13</f>
        <v>0</v>
      </c>
      <c r="BM76" s="79">
        <f t="shared" ref="BM76:BM93" si="24">SUM(BK76:BL76)</f>
        <v>-374251.50670083519</v>
      </c>
      <c r="BN76" s="121"/>
      <c r="BO76" s="121"/>
    </row>
    <row r="77" spans="1:67">
      <c r="A77" s="9"/>
      <c r="B77" s="121"/>
      <c r="C77" s="121"/>
      <c r="D77" s="121"/>
      <c r="E77" s="121"/>
      <c r="F77" s="121"/>
      <c r="G77" s="121"/>
      <c r="H77" s="4"/>
      <c r="I77" s="4"/>
      <c r="J77" s="4"/>
      <c r="Z77" s="121"/>
      <c r="AA77" s="121"/>
      <c r="AB77" s="121"/>
      <c r="AC77" s="121"/>
      <c r="AD77" s="121"/>
      <c r="AF77" s="4"/>
      <c r="AG77" s="4"/>
      <c r="AH77" s="4"/>
      <c r="AI77" s="4"/>
      <c r="AO77" s="4"/>
      <c r="AP77" s="4"/>
      <c r="AQ77" s="4"/>
      <c r="AR77" s="4"/>
      <c r="AS77" s="4"/>
      <c r="AT77" s="4"/>
      <c r="AU77" s="4"/>
      <c r="AV77" s="4"/>
      <c r="AW77" s="4"/>
      <c r="AX77" s="4"/>
      <c r="AY77" s="4"/>
      <c r="AZ77" s="4"/>
      <c r="BA77" s="4"/>
      <c r="BB77" s="4"/>
      <c r="BC77" s="4"/>
      <c r="BD77" s="4"/>
      <c r="BE77" s="4"/>
      <c r="BF77" s="4"/>
      <c r="BG77" s="4"/>
      <c r="BH77" s="4"/>
      <c r="BI77" s="416">
        <f t="shared" si="19"/>
        <v>65</v>
      </c>
      <c r="BJ77" s="151" t="s">
        <v>480</v>
      </c>
      <c r="BK77" s="71">
        <f>AC28</f>
        <v>-108339.16201768839</v>
      </c>
      <c r="BL77" s="41">
        <f t="shared" si="23"/>
        <v>0</v>
      </c>
      <c r="BM77" s="79">
        <f t="shared" si="24"/>
        <v>-108339.16201768839</v>
      </c>
      <c r="BN77" s="121"/>
      <c r="BO77" s="121"/>
    </row>
    <row r="78" spans="1:67">
      <c r="A78" s="9"/>
      <c r="B78" s="121"/>
      <c r="C78" s="121"/>
      <c r="D78" s="121"/>
      <c r="E78" s="121"/>
      <c r="F78" s="121"/>
      <c r="G78" s="121"/>
      <c r="H78" s="4"/>
      <c r="I78" s="4"/>
      <c r="J78" s="4"/>
      <c r="Z78" s="121"/>
      <c r="AA78" s="121"/>
      <c r="AB78" s="121"/>
      <c r="AC78" s="121"/>
      <c r="AD78" s="121"/>
      <c r="AF78" s="4"/>
      <c r="AG78" s="4"/>
      <c r="AH78" s="4"/>
      <c r="AI78" s="4"/>
      <c r="AO78" s="4"/>
      <c r="AP78" s="4"/>
      <c r="AQ78" s="4"/>
      <c r="AR78" s="4"/>
      <c r="AS78" s="4"/>
      <c r="AT78" s="4"/>
      <c r="AU78" s="4"/>
      <c r="AV78" s="4"/>
      <c r="AW78" s="4"/>
      <c r="AX78" s="4"/>
      <c r="AY78" s="4"/>
      <c r="AZ78" s="4"/>
      <c r="BA78" s="4"/>
      <c r="BB78" s="4"/>
      <c r="BC78" s="4"/>
      <c r="BD78" s="4"/>
      <c r="BE78" s="4"/>
      <c r="BF78" s="4"/>
      <c r="BG78" s="4"/>
      <c r="BH78" s="4"/>
      <c r="BI78" s="416">
        <f t="shared" ref="BI78:BI96" si="25">+BI77+1</f>
        <v>66</v>
      </c>
      <c r="BJ78" s="143" t="s">
        <v>479</v>
      </c>
      <c r="BK78" s="79">
        <f>AC14</f>
        <v>0</v>
      </c>
      <c r="BL78" s="41">
        <f t="shared" si="23"/>
        <v>0</v>
      </c>
      <c r="BM78" s="79">
        <f t="shared" si="24"/>
        <v>0</v>
      </c>
      <c r="BN78" s="121"/>
      <c r="BO78" s="121"/>
    </row>
    <row r="79" spans="1:67" ht="13.5">
      <c r="A79" s="9"/>
      <c r="B79" s="121"/>
      <c r="C79" s="121"/>
      <c r="D79" s="121"/>
      <c r="E79" s="121"/>
      <c r="F79" s="121"/>
      <c r="G79" s="121"/>
      <c r="H79" s="4"/>
      <c r="I79" s="4"/>
      <c r="J79" s="4"/>
      <c r="Z79" s="121"/>
      <c r="AA79" s="121"/>
      <c r="AB79" s="121"/>
      <c r="AC79" s="121"/>
      <c r="AD79" s="121"/>
      <c r="AF79" s="4"/>
      <c r="AG79" s="4"/>
      <c r="AH79" s="4"/>
      <c r="AI79" s="4"/>
      <c r="AO79" s="4"/>
      <c r="AP79" s="4"/>
      <c r="AQ79" s="4"/>
      <c r="AR79" s="4"/>
      <c r="AS79" s="4"/>
      <c r="AT79" s="4"/>
      <c r="AU79" s="4"/>
      <c r="AV79" s="4"/>
      <c r="AW79" s="4"/>
      <c r="AX79" s="4"/>
      <c r="AY79" s="4"/>
      <c r="AZ79" s="4"/>
      <c r="BA79" s="4"/>
      <c r="BB79" s="4"/>
      <c r="BC79" s="4"/>
      <c r="BD79" s="4"/>
      <c r="BE79" s="4"/>
      <c r="BF79" s="4"/>
      <c r="BG79" s="4"/>
      <c r="BH79" s="4"/>
      <c r="BI79" s="416">
        <f t="shared" si="25"/>
        <v>67</v>
      </c>
      <c r="BJ79" s="143" t="s">
        <v>478</v>
      </c>
      <c r="BK79" s="197">
        <f>BB20-BB15-BB16</f>
        <v>12293821.450076893</v>
      </c>
      <c r="BL79" s="420">
        <f t="shared" si="23"/>
        <v>0</v>
      </c>
      <c r="BM79" s="197">
        <f t="shared" si="24"/>
        <v>12293821.450076893</v>
      </c>
      <c r="BN79" s="121"/>
      <c r="BO79" s="121"/>
    </row>
    <row r="80" spans="1:67">
      <c r="A80" s="9"/>
      <c r="B80" s="121"/>
      <c r="C80" s="121"/>
      <c r="D80" s="121"/>
      <c r="E80" s="121"/>
      <c r="F80" s="121"/>
      <c r="G80" s="121"/>
      <c r="H80" s="4"/>
      <c r="I80" s="4"/>
      <c r="J80" s="4"/>
      <c r="Z80" s="121"/>
      <c r="AA80" s="121"/>
      <c r="AB80" s="121"/>
      <c r="AC80" s="121"/>
      <c r="AD80" s="121"/>
      <c r="AF80" s="4"/>
      <c r="AG80" s="4"/>
      <c r="AH80" s="4"/>
      <c r="AI80" s="4"/>
      <c r="AO80" s="4"/>
      <c r="AP80" s="4"/>
      <c r="AQ80" s="4"/>
      <c r="AR80" s="4"/>
      <c r="AS80" s="4"/>
      <c r="AT80" s="4"/>
      <c r="AU80" s="4"/>
      <c r="AV80" s="4"/>
      <c r="AW80" s="4"/>
      <c r="AX80" s="4"/>
      <c r="AY80" s="4"/>
      <c r="AZ80" s="4"/>
      <c r="BA80" s="4"/>
      <c r="BB80" s="4"/>
      <c r="BC80" s="4"/>
      <c r="BD80" s="4"/>
      <c r="BE80" s="4"/>
      <c r="BF80" s="4"/>
      <c r="BG80" s="4"/>
      <c r="BH80" s="4"/>
      <c r="BI80" s="416">
        <f t="shared" si="25"/>
        <v>68</v>
      </c>
      <c r="BJ80" s="143" t="s">
        <v>477</v>
      </c>
      <c r="BK80" s="79">
        <f>AC15</f>
        <v>-88510.49771296572</v>
      </c>
      <c r="BL80" s="41">
        <f t="shared" si="23"/>
        <v>0</v>
      </c>
      <c r="BM80" s="79">
        <f t="shared" si="24"/>
        <v>-88510.49771296572</v>
      </c>
      <c r="BN80" s="121"/>
      <c r="BO80" s="121"/>
    </row>
    <row r="81" spans="1:67">
      <c r="A81" s="9"/>
      <c r="B81" s="121"/>
      <c r="C81" s="121"/>
      <c r="D81" s="121"/>
      <c r="E81" s="121"/>
      <c r="F81" s="121"/>
      <c r="G81" s="121"/>
      <c r="H81" s="4"/>
      <c r="I81" s="4"/>
      <c r="J81" s="4"/>
      <c r="Z81" s="121"/>
      <c r="AA81" s="121"/>
      <c r="AB81" s="121"/>
      <c r="AC81" s="121"/>
      <c r="AD81" s="121"/>
      <c r="AF81" s="4"/>
      <c r="AG81" s="4"/>
      <c r="AH81" s="4"/>
      <c r="AI81" s="4"/>
      <c r="AO81" s="4"/>
      <c r="AP81" s="4"/>
      <c r="AQ81" s="4"/>
      <c r="AR81" s="4"/>
      <c r="AS81" s="4"/>
      <c r="AT81" s="4"/>
      <c r="AU81" s="4"/>
      <c r="AV81" s="4"/>
      <c r="AW81" s="4"/>
      <c r="AX81" s="4"/>
      <c r="AY81" s="4"/>
      <c r="AZ81" s="4"/>
      <c r="BA81" s="4"/>
      <c r="BB81" s="4"/>
      <c r="BC81" s="4"/>
      <c r="BD81" s="4"/>
      <c r="BE81" s="4"/>
      <c r="BF81" s="4"/>
      <c r="BG81" s="4"/>
      <c r="BH81" s="4"/>
      <c r="BI81" s="416">
        <f t="shared" si="25"/>
        <v>69</v>
      </c>
      <c r="BJ81" s="143" t="s">
        <v>476</v>
      </c>
      <c r="BK81" s="79">
        <f>AC16</f>
        <v>-121339.24959547223</v>
      </c>
      <c r="BL81" s="41">
        <f t="shared" si="23"/>
        <v>0</v>
      </c>
      <c r="BM81" s="79">
        <f t="shared" si="24"/>
        <v>-121339.24959547223</v>
      </c>
      <c r="BN81" s="121"/>
      <c r="BO81" s="121"/>
    </row>
    <row r="82" spans="1:67">
      <c r="A82" s="9"/>
      <c r="B82" s="121"/>
      <c r="C82" s="121"/>
      <c r="D82" s="121"/>
      <c r="E82" s="121"/>
      <c r="F82" s="121"/>
      <c r="G82" s="121"/>
      <c r="H82" s="4"/>
      <c r="I82" s="4"/>
      <c r="J82" s="4"/>
      <c r="Z82" s="121"/>
      <c r="AA82" s="121"/>
      <c r="AB82" s="121"/>
      <c r="AC82" s="121"/>
      <c r="AD82" s="121"/>
      <c r="AF82" s="4"/>
      <c r="AG82" s="4"/>
      <c r="AH82" s="4"/>
      <c r="AI82" s="4"/>
      <c r="AO82" s="4"/>
      <c r="AP82" s="4"/>
      <c r="AQ82" s="4"/>
      <c r="AR82" s="4"/>
      <c r="AS82" s="4"/>
      <c r="AT82" s="4"/>
      <c r="AU82" s="4"/>
      <c r="AV82" s="4"/>
      <c r="AW82" s="4"/>
      <c r="AX82" s="4"/>
      <c r="AY82" s="4"/>
      <c r="AZ82" s="4"/>
      <c r="BA82" s="4"/>
      <c r="BB82" s="4"/>
      <c r="BC82" s="4"/>
      <c r="BD82" s="4"/>
      <c r="BE82" s="4"/>
      <c r="BF82" s="4"/>
      <c r="BG82" s="4"/>
      <c r="BH82" s="4"/>
      <c r="BI82" s="416">
        <f t="shared" si="25"/>
        <v>70</v>
      </c>
      <c r="BJ82" s="143" t="s">
        <v>475</v>
      </c>
      <c r="BK82" s="79">
        <f t="shared" ref="BK82:BK87" si="26">AC18</f>
        <v>82196760.579333305</v>
      </c>
      <c r="BL82" s="41">
        <f t="shared" si="23"/>
        <v>0</v>
      </c>
      <c r="BM82" s="79">
        <f t="shared" si="24"/>
        <v>82196760.579333305</v>
      </c>
      <c r="BN82" s="121"/>
      <c r="BO82" s="121"/>
    </row>
    <row r="83" spans="1:67">
      <c r="A83" s="9"/>
      <c r="B83" s="121"/>
      <c r="C83" s="121"/>
      <c r="D83" s="121"/>
      <c r="E83" s="121"/>
      <c r="F83" s="121"/>
      <c r="G83" s="121"/>
      <c r="H83" s="4"/>
      <c r="I83" s="4"/>
      <c r="J83" s="4"/>
      <c r="Z83" s="121"/>
      <c r="AA83" s="121"/>
      <c r="AB83" s="121"/>
      <c r="AC83" s="121"/>
      <c r="AD83" s="121"/>
      <c r="AF83" s="4"/>
      <c r="AG83" s="4"/>
      <c r="AH83" s="4"/>
      <c r="AI83" s="4"/>
      <c r="AO83" s="4"/>
      <c r="AQ83" s="4"/>
      <c r="AR83" s="4"/>
      <c r="AS83" s="4"/>
      <c r="AT83" s="4"/>
      <c r="AV83" s="4"/>
      <c r="AW83" s="4"/>
      <c r="AX83" s="4"/>
      <c r="AY83" s="4"/>
      <c r="BA83" s="4"/>
      <c r="BB83" s="4"/>
      <c r="BC83" s="4"/>
      <c r="BD83" s="4"/>
      <c r="BE83" s="4"/>
      <c r="BF83" s="4"/>
      <c r="BG83" s="4"/>
      <c r="BH83" s="4"/>
      <c r="BI83" s="416">
        <f t="shared" si="25"/>
        <v>71</v>
      </c>
      <c r="BJ83" s="143" t="s">
        <v>474</v>
      </c>
      <c r="BK83" s="79">
        <f t="shared" si="26"/>
        <v>18500000</v>
      </c>
      <c r="BL83" s="41">
        <f t="shared" si="23"/>
        <v>0</v>
      </c>
      <c r="BM83" s="79">
        <f t="shared" si="24"/>
        <v>18500000</v>
      </c>
      <c r="BN83" s="121"/>
      <c r="BO83" s="121"/>
    </row>
    <row r="84" spans="1:67">
      <c r="A84" s="9"/>
      <c r="B84" s="121"/>
      <c r="C84" s="121"/>
      <c r="D84" s="121"/>
      <c r="E84" s="121"/>
      <c r="F84" s="121"/>
      <c r="G84" s="121"/>
      <c r="H84" s="4"/>
      <c r="I84" s="4"/>
      <c r="J84" s="4"/>
      <c r="Z84" s="121"/>
      <c r="AA84" s="121"/>
      <c r="AB84" s="121"/>
      <c r="AC84" s="121"/>
      <c r="AD84" s="121"/>
      <c r="AF84" s="4"/>
      <c r="AG84" s="4"/>
      <c r="AH84" s="4"/>
      <c r="AI84" s="4"/>
      <c r="AO84" s="4"/>
      <c r="AQ84" s="4"/>
      <c r="AR84" s="4"/>
      <c r="AS84" s="4"/>
      <c r="AT84" s="4"/>
      <c r="AV84" s="4"/>
      <c r="AW84" s="4"/>
      <c r="AX84" s="4"/>
      <c r="AY84" s="4"/>
      <c r="BA84" s="4"/>
      <c r="BB84" s="4"/>
      <c r="BC84" s="4"/>
      <c r="BD84" s="4"/>
      <c r="BE84" s="4"/>
      <c r="BF84" s="4"/>
      <c r="BG84" s="4"/>
      <c r="BH84" s="4"/>
      <c r="BI84" s="416">
        <f t="shared" si="25"/>
        <v>72</v>
      </c>
      <c r="BJ84" s="143" t="s">
        <v>473</v>
      </c>
      <c r="BK84" s="79">
        <f t="shared" si="26"/>
        <v>750000.00000000524</v>
      </c>
      <c r="BL84" s="41">
        <f t="shared" si="23"/>
        <v>0</v>
      </c>
      <c r="BM84" s="79">
        <f t="shared" si="24"/>
        <v>750000.00000000524</v>
      </c>
      <c r="BN84" s="121"/>
      <c r="BO84" s="121"/>
    </row>
    <row r="85" spans="1:67">
      <c r="A85" s="9"/>
      <c r="B85" s="121"/>
      <c r="C85" s="121"/>
      <c r="D85" s="121"/>
      <c r="E85" s="121"/>
      <c r="F85" s="121"/>
      <c r="G85" s="121"/>
      <c r="H85" s="4"/>
      <c r="I85" s="4"/>
      <c r="J85" s="4"/>
      <c r="Z85" s="121"/>
      <c r="AA85" s="121"/>
      <c r="AB85" s="121"/>
      <c r="AC85" s="121"/>
      <c r="AD85" s="121"/>
      <c r="AF85" s="4"/>
      <c r="AG85" s="4"/>
      <c r="AH85" s="4"/>
      <c r="AI85" s="4"/>
      <c r="AO85" s="4"/>
      <c r="AQ85" s="4"/>
      <c r="AR85" s="4"/>
      <c r="AS85" s="4"/>
      <c r="AT85" s="4"/>
      <c r="AV85" s="4"/>
      <c r="AW85" s="4"/>
      <c r="AX85" s="4"/>
      <c r="AY85" s="4"/>
      <c r="BA85" s="4"/>
      <c r="BB85" s="4"/>
      <c r="BC85" s="4"/>
      <c r="BD85" s="4"/>
      <c r="BE85" s="4"/>
      <c r="BF85" s="4"/>
      <c r="BG85" s="4"/>
      <c r="BH85" s="4"/>
      <c r="BI85" s="416">
        <f t="shared" si="25"/>
        <v>73</v>
      </c>
      <c r="BJ85" s="143" t="s">
        <v>472</v>
      </c>
      <c r="BK85" s="79">
        <f t="shared" si="26"/>
        <v>0</v>
      </c>
      <c r="BL85" s="41">
        <f t="shared" si="23"/>
        <v>0</v>
      </c>
      <c r="BM85" s="79">
        <f t="shared" si="24"/>
        <v>0</v>
      </c>
      <c r="BN85" s="121"/>
      <c r="BO85" s="121"/>
    </row>
    <row r="86" spans="1:67">
      <c r="A86" s="9"/>
      <c r="B86" s="121"/>
      <c r="C86" s="121"/>
      <c r="D86" s="121"/>
      <c r="E86" s="121"/>
      <c r="F86" s="121"/>
      <c r="G86" s="121"/>
      <c r="H86" s="4"/>
      <c r="I86" s="4"/>
      <c r="J86" s="4"/>
      <c r="Z86" s="121"/>
      <c r="AA86" s="121"/>
      <c r="AB86" s="121"/>
      <c r="AC86" s="121"/>
      <c r="AD86" s="121"/>
      <c r="AF86" s="4"/>
      <c r="AG86" s="4"/>
      <c r="AH86" s="4"/>
      <c r="AI86" s="4"/>
      <c r="AO86" s="4"/>
      <c r="AP86" s="4"/>
      <c r="AQ86" s="4"/>
      <c r="AR86" s="4"/>
      <c r="AS86" s="4"/>
      <c r="AT86" s="4"/>
      <c r="AU86" s="4"/>
      <c r="AV86" s="4"/>
      <c r="AW86" s="4"/>
      <c r="AX86" s="4"/>
      <c r="AY86" s="4"/>
      <c r="AZ86" s="4"/>
      <c r="BA86" s="4"/>
      <c r="BB86" s="4"/>
      <c r="BC86" s="4"/>
      <c r="BD86" s="4"/>
      <c r="BE86" s="4"/>
      <c r="BF86" s="4"/>
      <c r="BG86" s="4"/>
      <c r="BH86" s="4"/>
      <c r="BI86" s="416">
        <f t="shared" si="25"/>
        <v>74</v>
      </c>
      <c r="BJ86" s="143" t="s">
        <v>471</v>
      </c>
      <c r="BK86" s="79">
        <f t="shared" si="26"/>
        <v>60863794.047865629</v>
      </c>
      <c r="BL86" s="41">
        <f t="shared" si="23"/>
        <v>0</v>
      </c>
      <c r="BM86" s="79">
        <f t="shared" si="24"/>
        <v>60863794.047865629</v>
      </c>
      <c r="BN86" s="121"/>
      <c r="BO86" s="121"/>
    </row>
    <row r="87" spans="1:67">
      <c r="A87" s="9"/>
      <c r="B87" s="121"/>
      <c r="C87" s="121"/>
      <c r="D87" s="121"/>
      <c r="E87" s="121"/>
      <c r="F87" s="121"/>
      <c r="G87" s="121"/>
      <c r="H87" s="4"/>
      <c r="I87" s="4"/>
      <c r="J87" s="4"/>
      <c r="Z87" s="121"/>
      <c r="AA87" s="121"/>
      <c r="AB87" s="121"/>
      <c r="AC87" s="121"/>
      <c r="AD87" s="121"/>
      <c r="AF87" s="4"/>
      <c r="AG87" s="4"/>
      <c r="AH87" s="4"/>
      <c r="AI87" s="4"/>
      <c r="AO87" s="4"/>
      <c r="AP87" s="4"/>
      <c r="AQ87" s="4"/>
      <c r="AR87" s="4"/>
      <c r="AS87" s="4"/>
      <c r="AT87" s="4"/>
      <c r="AU87" s="4"/>
      <c r="AV87" s="4"/>
      <c r="AW87" s="4"/>
      <c r="AX87" s="4"/>
      <c r="AY87" s="4"/>
      <c r="AZ87" s="4"/>
      <c r="BA87" s="4"/>
      <c r="BB87" s="4"/>
      <c r="BC87" s="4"/>
      <c r="BD87" s="4"/>
      <c r="BE87" s="4"/>
      <c r="BF87" s="4"/>
      <c r="BG87" s="4"/>
      <c r="BH87" s="4"/>
      <c r="BI87" s="416">
        <f t="shared" si="25"/>
        <v>75</v>
      </c>
      <c r="BJ87" s="143" t="s">
        <v>470</v>
      </c>
      <c r="BK87" s="79">
        <f t="shared" si="26"/>
        <v>8466701.2744743638</v>
      </c>
      <c r="BL87" s="41">
        <f t="shared" si="23"/>
        <v>0</v>
      </c>
      <c r="BM87" s="79">
        <f t="shared" si="24"/>
        <v>8466701.2744743638</v>
      </c>
      <c r="BN87" s="121"/>
      <c r="BO87" s="121"/>
    </row>
    <row r="88" spans="1:67">
      <c r="A88" s="9"/>
      <c r="B88" s="121"/>
      <c r="C88" s="121"/>
      <c r="D88" s="121"/>
      <c r="E88" s="121"/>
      <c r="F88" s="121"/>
      <c r="G88" s="121"/>
      <c r="H88" s="4"/>
      <c r="I88" s="4"/>
      <c r="J88" s="4"/>
      <c r="Z88" s="121"/>
      <c r="AA88" s="121"/>
      <c r="AB88" s="121"/>
      <c r="AC88" s="121"/>
      <c r="AD88" s="121"/>
      <c r="AF88" s="4"/>
      <c r="AG88" s="4"/>
      <c r="AH88" s="4"/>
      <c r="AI88" s="4"/>
      <c r="AO88" s="4"/>
      <c r="AP88" s="4"/>
      <c r="AQ88" s="4"/>
      <c r="AR88" s="4"/>
      <c r="AS88" s="4"/>
      <c r="AT88" s="4"/>
      <c r="AU88" s="4"/>
      <c r="AV88" s="4"/>
      <c r="AW88" s="4"/>
      <c r="AX88" s="4"/>
      <c r="AY88" s="4"/>
      <c r="AZ88" s="4"/>
      <c r="BA88" s="4"/>
      <c r="BB88" s="4"/>
      <c r="BC88" s="4"/>
      <c r="BD88" s="4"/>
      <c r="BE88" s="4"/>
      <c r="BF88" s="4"/>
      <c r="BG88" s="4"/>
      <c r="BH88" s="4"/>
      <c r="BI88" s="416">
        <f t="shared" si="25"/>
        <v>76</v>
      </c>
      <c r="BJ88" s="143" t="s">
        <v>469</v>
      </c>
      <c r="BK88" s="79">
        <f>AC17</f>
        <v>12550110.290861849</v>
      </c>
      <c r="BL88" s="41">
        <f t="shared" si="23"/>
        <v>0</v>
      </c>
      <c r="BM88" s="79">
        <f t="shared" si="24"/>
        <v>12550110.290861849</v>
      </c>
      <c r="BN88" s="121"/>
      <c r="BO88" s="121"/>
    </row>
    <row r="89" spans="1:67">
      <c r="A89" s="9"/>
      <c r="B89" s="121"/>
      <c r="C89" s="121"/>
      <c r="D89" s="121"/>
      <c r="E89" s="121"/>
      <c r="F89" s="121"/>
      <c r="G89" s="121"/>
      <c r="H89" s="4"/>
      <c r="I89" s="4"/>
      <c r="J89" s="4"/>
      <c r="Z89" s="121"/>
      <c r="AA89" s="121"/>
      <c r="AB89" s="121"/>
      <c r="AC89" s="121"/>
      <c r="AD89" s="121"/>
      <c r="AF89" s="4"/>
      <c r="AG89" s="4"/>
      <c r="AH89" s="4"/>
      <c r="AI89" s="4"/>
      <c r="AO89" s="4"/>
      <c r="AP89" s="4"/>
      <c r="AQ89" s="4"/>
      <c r="AR89" s="4"/>
      <c r="AS89" s="4"/>
      <c r="AT89" s="4"/>
      <c r="AU89" s="4"/>
      <c r="AV89" s="4"/>
      <c r="AW89" s="4"/>
      <c r="AX89" s="4"/>
      <c r="AY89" s="4"/>
      <c r="AZ89" s="4"/>
      <c r="BA89" s="4"/>
      <c r="BB89" s="4"/>
      <c r="BC89" s="4"/>
      <c r="BD89" s="4"/>
      <c r="BE89" s="4"/>
      <c r="BF89" s="4"/>
      <c r="BG89" s="4"/>
      <c r="BH89" s="4"/>
      <c r="BI89" s="416">
        <f t="shared" si="25"/>
        <v>77</v>
      </c>
      <c r="BJ89" s="143" t="s">
        <v>468</v>
      </c>
      <c r="BK89" s="71">
        <f>AC24</f>
        <v>0.16838636322063394</v>
      </c>
      <c r="BL89" s="41">
        <f t="shared" si="23"/>
        <v>0</v>
      </c>
      <c r="BM89" s="71">
        <f t="shared" si="24"/>
        <v>0.16838636322063394</v>
      </c>
      <c r="BN89" s="121"/>
      <c r="BO89" s="121"/>
    </row>
    <row r="90" spans="1:67">
      <c r="A90" s="9"/>
      <c r="B90" s="121"/>
      <c r="C90" s="121"/>
      <c r="D90" s="121"/>
      <c r="E90" s="121"/>
      <c r="F90" s="121"/>
      <c r="G90" s="121"/>
      <c r="H90" s="4"/>
      <c r="I90" s="4"/>
      <c r="J90" s="4"/>
      <c r="Z90" s="121"/>
      <c r="AA90" s="121"/>
      <c r="AB90" s="121"/>
      <c r="AC90" s="121"/>
      <c r="AD90" s="121"/>
      <c r="AF90" s="4"/>
      <c r="AG90" s="4"/>
      <c r="AH90" s="4"/>
      <c r="AI90" s="4"/>
      <c r="AO90" s="4"/>
      <c r="AP90" s="4"/>
      <c r="AQ90" s="4"/>
      <c r="AR90" s="4"/>
      <c r="AS90" s="4"/>
      <c r="AT90" s="4"/>
      <c r="AU90" s="4"/>
      <c r="AV90" s="4"/>
      <c r="AW90" s="4"/>
      <c r="AX90" s="4"/>
      <c r="AY90" s="4"/>
      <c r="AZ90" s="4"/>
      <c r="BA90" s="4"/>
      <c r="BB90" s="4"/>
      <c r="BC90" s="4"/>
      <c r="BD90" s="4"/>
      <c r="BE90" s="4"/>
      <c r="BF90" s="4"/>
      <c r="BG90" s="4"/>
      <c r="BH90" s="4"/>
      <c r="BI90" s="416">
        <f t="shared" si="25"/>
        <v>78</v>
      </c>
      <c r="BJ90" s="143" t="s">
        <v>467</v>
      </c>
      <c r="BK90" s="79">
        <f>AC27</f>
        <v>3917699.507429909</v>
      </c>
      <c r="BL90" s="41">
        <f t="shared" si="23"/>
        <v>0</v>
      </c>
      <c r="BM90" s="79">
        <f t="shared" si="24"/>
        <v>3917699.507429909</v>
      </c>
      <c r="BN90" s="121"/>
      <c r="BO90" s="121"/>
    </row>
    <row r="91" spans="1:67">
      <c r="A91" s="9"/>
      <c r="B91" s="121"/>
      <c r="C91" s="121"/>
      <c r="D91" s="121"/>
      <c r="E91" s="121"/>
      <c r="F91" s="121"/>
      <c r="G91" s="121"/>
      <c r="H91" s="4"/>
      <c r="I91" s="4"/>
      <c r="J91" s="4"/>
      <c r="Z91" s="121"/>
      <c r="AA91" s="121"/>
      <c r="AB91" s="121"/>
      <c r="AC91" s="121"/>
      <c r="AD91" s="121"/>
      <c r="AF91" s="4"/>
      <c r="AG91" s="4"/>
      <c r="AH91" s="4"/>
      <c r="AI91" s="4"/>
      <c r="AO91" s="4"/>
      <c r="AP91" s="4"/>
      <c r="AQ91" s="4"/>
      <c r="AR91" s="4"/>
      <c r="AS91" s="4"/>
      <c r="AT91" s="4"/>
      <c r="AU91" s="4"/>
      <c r="AV91" s="4"/>
      <c r="AW91" s="4"/>
      <c r="AX91" s="4"/>
      <c r="AY91" s="4"/>
      <c r="AZ91" s="4"/>
      <c r="BA91" s="4"/>
      <c r="BB91" s="4"/>
      <c r="BC91" s="4"/>
      <c r="BD91" s="4"/>
      <c r="BE91" s="4"/>
      <c r="BF91" s="4"/>
      <c r="BG91" s="4"/>
      <c r="BH91" s="4"/>
      <c r="BI91" s="416">
        <f t="shared" si="25"/>
        <v>79</v>
      </c>
      <c r="BJ91" s="143" t="s">
        <v>466</v>
      </c>
      <c r="BK91" s="79">
        <f>AC26</f>
        <v>596763.95810137875</v>
      </c>
      <c r="BL91" s="41">
        <f t="shared" si="23"/>
        <v>0</v>
      </c>
      <c r="BM91" s="79">
        <f t="shared" si="24"/>
        <v>596763.95810137875</v>
      </c>
      <c r="BN91" s="121"/>
      <c r="BO91" s="121"/>
    </row>
    <row r="92" spans="1:67">
      <c r="A92" s="9"/>
      <c r="B92" s="121"/>
      <c r="C92" s="121"/>
      <c r="D92" s="121"/>
      <c r="E92" s="121"/>
      <c r="F92" s="121"/>
      <c r="G92" s="121"/>
      <c r="H92" s="4"/>
      <c r="I92" s="4"/>
      <c r="J92" s="4"/>
      <c r="Z92" s="121"/>
      <c r="AA92" s="121"/>
      <c r="AB92" s="121"/>
      <c r="AC92" s="121"/>
      <c r="AD92" s="121"/>
      <c r="AF92" s="4"/>
      <c r="AG92" s="4"/>
      <c r="AH92" s="4"/>
      <c r="AI92" s="4"/>
      <c r="AO92" s="4"/>
      <c r="AP92" s="4"/>
      <c r="AQ92" s="4"/>
      <c r="AR92" s="4"/>
      <c r="AS92" s="4"/>
      <c r="AT92" s="4"/>
      <c r="AU92" s="4"/>
      <c r="AV92" s="4"/>
      <c r="AW92" s="4"/>
      <c r="AX92" s="4"/>
      <c r="AY92" s="4"/>
      <c r="AZ92" s="4"/>
      <c r="BA92" s="4"/>
      <c r="BB92" s="4"/>
      <c r="BC92" s="4"/>
      <c r="BD92" s="4"/>
      <c r="BE92" s="4"/>
      <c r="BF92" s="4"/>
      <c r="BG92" s="4"/>
      <c r="BH92" s="4"/>
      <c r="BI92" s="416">
        <f t="shared" si="25"/>
        <v>80</v>
      </c>
      <c r="BJ92" s="143" t="s">
        <v>465</v>
      </c>
      <c r="BK92" s="79">
        <f>AC25</f>
        <v>151971.71732166281</v>
      </c>
      <c r="BL92" s="41">
        <f t="shared" si="23"/>
        <v>0</v>
      </c>
      <c r="BM92" s="137">
        <f t="shared" si="24"/>
        <v>151971.71732166281</v>
      </c>
      <c r="BN92" s="121"/>
      <c r="BO92" s="121"/>
    </row>
    <row r="93" spans="1:67">
      <c r="A93" s="9"/>
      <c r="B93" s="121"/>
      <c r="C93" s="121"/>
      <c r="D93" s="121"/>
      <c r="E93" s="121"/>
      <c r="F93" s="121"/>
      <c r="G93" s="121"/>
      <c r="H93" s="4"/>
      <c r="I93" s="4"/>
      <c r="J93" s="4"/>
      <c r="Z93" s="121"/>
      <c r="AA93" s="121"/>
      <c r="AB93" s="121"/>
      <c r="AC93" s="121"/>
      <c r="AD93" s="121"/>
      <c r="AF93" s="4"/>
      <c r="AG93" s="4"/>
      <c r="AH93" s="4"/>
      <c r="AI93" s="4"/>
      <c r="AO93" s="4"/>
      <c r="AP93" s="4"/>
      <c r="AQ93" s="4"/>
      <c r="AR93" s="4"/>
      <c r="AS93" s="4"/>
      <c r="AT93" s="4"/>
      <c r="AU93" s="4"/>
      <c r="AV93" s="4"/>
      <c r="AW93" s="4"/>
      <c r="AX93" s="4"/>
      <c r="AY93" s="4"/>
      <c r="AZ93" s="4"/>
      <c r="BA93" s="4"/>
      <c r="BB93" s="4"/>
      <c r="BC93" s="4"/>
      <c r="BD93" s="4"/>
      <c r="BE93" s="4"/>
      <c r="BF93" s="4"/>
      <c r="BG93" s="4"/>
      <c r="BH93" s="4"/>
      <c r="BI93" s="416">
        <f t="shared" si="25"/>
        <v>81</v>
      </c>
      <c r="BJ93" s="143" t="s">
        <v>464</v>
      </c>
      <c r="BK93" s="137">
        <f>AC30</f>
        <v>1128003.9151666719</v>
      </c>
      <c r="BL93" s="41">
        <f t="shared" si="23"/>
        <v>0</v>
      </c>
      <c r="BM93" s="137">
        <f t="shared" si="24"/>
        <v>1128003.9151666719</v>
      </c>
      <c r="BN93" s="121"/>
      <c r="BO93" s="121"/>
    </row>
    <row r="94" spans="1:67" ht="14.25" thickBot="1">
      <c r="A94" s="9"/>
      <c r="B94" s="121"/>
      <c r="C94" s="121"/>
      <c r="D94" s="121"/>
      <c r="E94" s="121"/>
      <c r="F94" s="121"/>
      <c r="G94" s="121"/>
      <c r="H94" s="4"/>
      <c r="I94" s="4"/>
      <c r="J94" s="4"/>
      <c r="Z94" s="121"/>
      <c r="AA94" s="121"/>
      <c r="AB94" s="121"/>
      <c r="AC94" s="121"/>
      <c r="AD94" s="121"/>
      <c r="AF94" s="4"/>
      <c r="AG94" s="4"/>
      <c r="AH94" s="4"/>
      <c r="AI94" s="4"/>
      <c r="AO94" s="4"/>
      <c r="AP94" s="4"/>
      <c r="AQ94" s="4"/>
      <c r="AR94" s="4"/>
      <c r="AS94" s="4"/>
      <c r="AT94" s="4"/>
      <c r="AU94" s="4"/>
      <c r="AV94" s="4"/>
      <c r="AW94" s="4"/>
      <c r="AX94" s="4"/>
      <c r="AY94" s="4"/>
      <c r="AZ94" s="4"/>
      <c r="BA94" s="4"/>
      <c r="BB94" s="4"/>
      <c r="BC94" s="4"/>
      <c r="BD94" s="4"/>
      <c r="BE94" s="4"/>
      <c r="BF94" s="4"/>
      <c r="BG94" s="4"/>
      <c r="BH94" s="4"/>
      <c r="BI94" s="416">
        <f t="shared" si="25"/>
        <v>82</v>
      </c>
      <c r="BJ94" s="151" t="s">
        <v>463</v>
      </c>
      <c r="BK94" s="419">
        <f>SUM(BK76:BK93)</f>
        <v>200723186.49299106</v>
      </c>
      <c r="BL94" s="419">
        <f>SUM(BL76:BL93)</f>
        <v>0</v>
      </c>
      <c r="BM94" s="419">
        <f>SUM(BM76:BM93)</f>
        <v>200723186.49299106</v>
      </c>
      <c r="BN94" s="121"/>
      <c r="BO94" s="121"/>
    </row>
    <row r="95" spans="1:67" ht="13.5" thickTop="1">
      <c r="A95" s="9"/>
      <c r="B95" s="121"/>
      <c r="C95" s="121"/>
      <c r="D95" s="121"/>
      <c r="E95" s="121"/>
      <c r="F95" s="121"/>
      <c r="G95" s="121"/>
      <c r="H95" s="4"/>
      <c r="I95" s="4"/>
      <c r="J95" s="4"/>
      <c r="Z95" s="121"/>
      <c r="AA95" s="121"/>
      <c r="AB95" s="121"/>
      <c r="AC95" s="121"/>
      <c r="AD95" s="121"/>
      <c r="AF95" s="4"/>
      <c r="AG95" s="4"/>
      <c r="AH95" s="4"/>
      <c r="AI95" s="4"/>
      <c r="AO95" s="4"/>
      <c r="AP95" s="4"/>
      <c r="AQ95" s="4"/>
      <c r="AR95" s="4"/>
      <c r="AS95" s="4"/>
      <c r="AT95" s="4"/>
      <c r="AU95" s="4"/>
      <c r="AV95" s="4"/>
      <c r="AW95" s="4"/>
      <c r="AX95" s="4"/>
      <c r="AY95" s="4"/>
      <c r="AZ95" s="4"/>
      <c r="BA95" s="4"/>
      <c r="BB95" s="4"/>
      <c r="BC95" s="4"/>
      <c r="BD95" s="4"/>
      <c r="BE95" s="4"/>
      <c r="BF95" s="4"/>
      <c r="BG95" s="4"/>
      <c r="BH95" s="4"/>
      <c r="BI95" s="416">
        <f t="shared" si="25"/>
        <v>83</v>
      </c>
      <c r="BJ95" s="418" t="s">
        <v>462</v>
      </c>
      <c r="BK95" s="41">
        <f>AC33+BB20-BB15-BB16-BK94</f>
        <v>0</v>
      </c>
      <c r="BL95" s="151"/>
      <c r="BM95" s="151"/>
      <c r="BN95" s="121"/>
      <c r="BO95" s="121"/>
    </row>
    <row r="96" spans="1:67" ht="14.25" thickBot="1">
      <c r="A96" s="9"/>
      <c r="B96" s="125"/>
      <c r="C96" s="121"/>
      <c r="D96" s="121"/>
      <c r="E96" s="121"/>
      <c r="F96" s="121"/>
      <c r="G96" s="121"/>
      <c r="H96" s="4"/>
      <c r="I96" s="4"/>
      <c r="J96" s="4"/>
      <c r="Z96" s="121"/>
      <c r="AA96" s="121"/>
      <c r="AB96" s="121"/>
      <c r="AC96" s="121"/>
      <c r="AD96" s="121"/>
      <c r="AF96" s="4"/>
      <c r="AG96" s="4"/>
      <c r="AH96" s="4"/>
      <c r="AI96" s="4"/>
      <c r="AO96" s="4"/>
      <c r="AP96" s="4"/>
      <c r="AQ96" s="4"/>
      <c r="AR96" s="4"/>
      <c r="AS96" s="4"/>
      <c r="AT96" s="4"/>
      <c r="AU96" s="4"/>
      <c r="AV96" s="4"/>
      <c r="AW96" s="4"/>
      <c r="AX96" s="4"/>
      <c r="AY96" s="4"/>
      <c r="AZ96" s="4"/>
      <c r="BA96" s="4"/>
      <c r="BB96" s="4"/>
      <c r="BC96" s="4"/>
      <c r="BD96" s="4"/>
      <c r="BE96" s="4"/>
      <c r="BF96" s="4"/>
      <c r="BG96" s="4"/>
      <c r="BH96" s="4"/>
      <c r="BI96" s="416">
        <f t="shared" si="25"/>
        <v>84</v>
      </c>
      <c r="BJ96" s="151" t="s">
        <v>8</v>
      </c>
      <c r="BK96" s="151"/>
      <c r="BL96" s="417">
        <f>BL73+BL94</f>
        <v>0</v>
      </c>
      <c r="BM96" s="151"/>
      <c r="BN96" s="121"/>
      <c r="BO96" s="121"/>
    </row>
    <row r="97" spans="1:85" s="3" customFormat="1" ht="13.5" thickTop="1">
      <c r="A97" s="9"/>
      <c r="B97" s="121"/>
      <c r="C97" s="121"/>
      <c r="D97" s="121"/>
      <c r="E97" s="121"/>
      <c r="F97" s="121"/>
      <c r="G97" s="121"/>
      <c r="H97" s="4"/>
      <c r="I97" s="4"/>
      <c r="J97" s="4"/>
      <c r="Z97" s="121"/>
      <c r="AA97" s="121"/>
      <c r="AB97" s="121"/>
      <c r="AC97" s="121"/>
      <c r="AD97" s="121"/>
      <c r="AF97" s="4"/>
      <c r="AG97" s="4"/>
      <c r="AH97" s="4"/>
      <c r="AI97" s="4"/>
      <c r="AO97" s="4"/>
      <c r="AP97" s="4"/>
      <c r="AQ97" s="4"/>
      <c r="AR97" s="4"/>
      <c r="AS97" s="4"/>
      <c r="AT97" s="4"/>
      <c r="AU97" s="4"/>
      <c r="AV97" s="4"/>
      <c r="AW97" s="4"/>
      <c r="AX97" s="4"/>
      <c r="AY97" s="4"/>
      <c r="AZ97" s="4"/>
      <c r="BA97" s="4"/>
      <c r="BB97" s="4"/>
      <c r="BC97" s="4"/>
      <c r="BD97" s="4"/>
      <c r="BE97" s="4"/>
      <c r="BF97" s="4"/>
      <c r="BG97" s="4"/>
      <c r="BH97" s="4"/>
      <c r="BI97" s="416"/>
      <c r="BN97" s="121"/>
      <c r="BO97" s="121"/>
      <c r="BP97" s="1"/>
      <c r="BQ97" s="1"/>
      <c r="BR97" s="1"/>
      <c r="BS97" s="1"/>
      <c r="BT97" s="1"/>
      <c r="BU97" s="1"/>
      <c r="BV97" s="1"/>
      <c r="BW97" s="1"/>
      <c r="BX97" s="1"/>
      <c r="BY97" s="1"/>
      <c r="BZ97" s="1"/>
      <c r="CA97" s="1"/>
      <c r="CB97" s="1"/>
      <c r="CD97" s="224"/>
      <c r="CE97" s="224"/>
      <c r="CF97" s="224"/>
      <c r="CG97" s="224"/>
    </row>
    <row r="98" spans="1:85" s="3" customFormat="1">
      <c r="A98" s="9"/>
      <c r="B98" s="125"/>
      <c r="C98" s="121"/>
      <c r="D98" s="121"/>
      <c r="E98" s="121"/>
      <c r="F98" s="121"/>
      <c r="G98" s="121"/>
      <c r="H98" s="4"/>
      <c r="I98" s="4"/>
      <c r="J98" s="4"/>
      <c r="Z98" s="121"/>
      <c r="AA98" s="121"/>
      <c r="AB98" s="121"/>
      <c r="AC98" s="121"/>
      <c r="AD98" s="121"/>
      <c r="AF98" s="4"/>
      <c r="AG98" s="4"/>
      <c r="AH98" s="4"/>
      <c r="AI98" s="4"/>
      <c r="AO98" s="4"/>
      <c r="AP98" s="4"/>
      <c r="AQ98" s="4"/>
      <c r="AR98" s="4"/>
      <c r="AS98" s="4"/>
      <c r="AT98" s="4"/>
      <c r="AU98" s="4"/>
      <c r="AV98" s="4"/>
      <c r="AW98" s="4"/>
      <c r="AX98" s="4"/>
      <c r="AY98" s="4"/>
      <c r="AZ98" s="4"/>
      <c r="BA98" s="4"/>
      <c r="BB98" s="4"/>
      <c r="BC98" s="4"/>
      <c r="BD98" s="4"/>
      <c r="BE98" s="4"/>
      <c r="BF98" s="4"/>
      <c r="BG98" s="4"/>
      <c r="BH98" s="125">
        <v>-2131857</v>
      </c>
      <c r="BI98" s="125"/>
      <c r="BJ98" s="125"/>
      <c r="BK98" s="125"/>
      <c r="BL98" s="125"/>
      <c r="BM98" s="125"/>
      <c r="BN98" s="121"/>
      <c r="BO98" s="121"/>
      <c r="BP98" s="1"/>
      <c r="BQ98" s="1"/>
      <c r="BR98" s="1"/>
      <c r="BS98" s="1"/>
      <c r="BT98" s="1"/>
      <c r="BU98" s="1"/>
      <c r="BV98" s="1"/>
      <c r="BW98" s="1"/>
      <c r="BX98" s="1"/>
      <c r="BY98" s="1"/>
      <c r="BZ98" s="1"/>
      <c r="CA98" s="1"/>
      <c r="CB98" s="1"/>
      <c r="CD98" s="224"/>
      <c r="CE98" s="224"/>
      <c r="CF98" s="224"/>
      <c r="CG98" s="224"/>
    </row>
    <row r="99" spans="1:85" s="3" customFormat="1" outlineLevel="1">
      <c r="A99" s="9">
        <v>87</v>
      </c>
      <c r="B99" s="126" t="s">
        <v>157</v>
      </c>
      <c r="C99" s="121"/>
      <c r="D99" s="121"/>
      <c r="E99" s="125">
        <v>-14772509.684517073</v>
      </c>
      <c r="F99" s="121"/>
      <c r="G99" s="121"/>
      <c r="H99" s="4"/>
      <c r="I99" s="4"/>
      <c r="J99" s="125">
        <v>61133.271335334284</v>
      </c>
      <c r="O99" s="125">
        <v>137890.37865459672</v>
      </c>
      <c r="T99" s="125">
        <v>-41672583.95949994</v>
      </c>
      <c r="Z99" s="121"/>
      <c r="AA99" s="121"/>
      <c r="AB99" s="121"/>
      <c r="AC99" s="121"/>
      <c r="AD99" s="125">
        <v>1736211.9514499884</v>
      </c>
      <c r="AF99" s="4"/>
      <c r="AG99" s="4"/>
      <c r="AH99" s="4"/>
      <c r="AI99" s="125">
        <v>-145490.32262849354</v>
      </c>
      <c r="AN99" s="125">
        <v>-3492716.8900000006</v>
      </c>
      <c r="AO99" s="4"/>
      <c r="AP99" s="4"/>
      <c r="AQ99" s="4"/>
      <c r="AR99" s="4"/>
      <c r="AS99" s="125">
        <v>2156.0948424596518</v>
      </c>
      <c r="AT99" s="4"/>
      <c r="AU99" s="4"/>
      <c r="AV99" s="4"/>
      <c r="AW99" s="4"/>
      <c r="AX99" s="125">
        <v>0</v>
      </c>
      <c r="AY99" s="4"/>
      <c r="AZ99" s="4"/>
      <c r="BA99" s="4"/>
      <c r="BB99" s="4"/>
      <c r="BC99" s="125">
        <v>-3288310.2380116768</v>
      </c>
      <c r="BD99" s="4"/>
      <c r="BE99" s="4"/>
      <c r="BF99" s="4"/>
      <c r="BG99" s="4"/>
      <c r="BH99" s="121"/>
      <c r="BI99" s="121"/>
      <c r="BJ99" s="121"/>
      <c r="BK99" s="121"/>
      <c r="BL99" s="121"/>
      <c r="BM99" s="125">
        <v>3129292.1922478946</v>
      </c>
      <c r="BN99" s="121"/>
      <c r="BO99" s="121"/>
      <c r="BP99" s="1"/>
      <c r="BQ99" s="1"/>
      <c r="BR99" s="1"/>
      <c r="BS99" s="1"/>
      <c r="BT99" s="1"/>
      <c r="BU99" s="1"/>
      <c r="BV99" s="1"/>
      <c r="BW99" s="1"/>
      <c r="BX99" s="1"/>
      <c r="BY99" s="1"/>
      <c r="BZ99" s="1"/>
      <c r="CA99" s="1"/>
      <c r="CB99" s="1"/>
      <c r="CD99" s="224"/>
      <c r="CE99" s="224"/>
      <c r="CF99" s="224"/>
      <c r="CG99" s="224"/>
    </row>
    <row r="100" spans="1:85" s="3" customFormat="1" outlineLevel="1">
      <c r="A100" s="9">
        <v>88</v>
      </c>
      <c r="B100" s="121"/>
      <c r="C100" s="121"/>
      <c r="D100" s="121"/>
      <c r="E100" s="121"/>
      <c r="F100" s="121"/>
      <c r="G100" s="121"/>
      <c r="H100" s="4"/>
      <c r="I100" s="4"/>
      <c r="J100" s="121"/>
      <c r="O100" s="121"/>
      <c r="T100" s="121"/>
      <c r="Z100" s="121"/>
      <c r="AA100" s="121"/>
      <c r="AB100" s="121"/>
      <c r="AC100" s="121"/>
      <c r="AD100" s="121"/>
      <c r="AF100" s="4"/>
      <c r="AG100" s="4"/>
      <c r="AH100" s="4"/>
      <c r="AI100" s="121"/>
      <c r="AN100" s="121"/>
      <c r="AO100" s="4"/>
      <c r="AP100" s="4"/>
      <c r="AQ100" s="4"/>
      <c r="AR100" s="4"/>
      <c r="AS100" s="121"/>
      <c r="AT100" s="4"/>
      <c r="AU100" s="4"/>
      <c r="AV100" s="4"/>
      <c r="AW100" s="4"/>
      <c r="AX100" s="121"/>
      <c r="AY100" s="4"/>
      <c r="AZ100" s="4"/>
      <c r="BA100" s="4"/>
      <c r="BB100" s="4"/>
      <c r="BC100" s="121"/>
      <c r="BD100" s="4"/>
      <c r="BE100" s="4"/>
      <c r="BF100" s="4"/>
      <c r="BG100" s="4"/>
      <c r="BH100" s="125">
        <f>BH23-BH98</f>
        <v>560258.83333333302</v>
      </c>
      <c r="BI100" s="125"/>
      <c r="BJ100" s="125"/>
      <c r="BK100" s="125"/>
      <c r="BL100" s="125"/>
      <c r="BM100" s="121"/>
      <c r="BN100" s="121"/>
      <c r="BO100" s="121"/>
      <c r="BP100" s="1"/>
      <c r="BQ100" s="1"/>
      <c r="BR100" s="1"/>
      <c r="BS100" s="1"/>
      <c r="BT100" s="1"/>
      <c r="BU100" s="1"/>
      <c r="BV100" s="1"/>
      <c r="BW100" s="1"/>
      <c r="BX100" s="1"/>
      <c r="BY100" s="1"/>
      <c r="BZ100" s="1"/>
      <c r="CA100" s="1"/>
      <c r="CB100" s="1"/>
      <c r="CD100" s="224"/>
      <c r="CE100" s="224"/>
      <c r="CF100" s="224"/>
      <c r="CG100" s="224"/>
    </row>
    <row r="101" spans="1:85" s="3" customFormat="1" outlineLevel="1">
      <c r="A101" s="9">
        <v>89</v>
      </c>
      <c r="B101" s="126" t="s">
        <v>0</v>
      </c>
      <c r="C101" s="123"/>
      <c r="D101" s="123"/>
      <c r="E101" s="125">
        <f>E33-E99</f>
        <v>11943137.818645086</v>
      </c>
      <c r="G101" s="4"/>
      <c r="H101" s="4"/>
      <c r="I101" s="4"/>
      <c r="J101" s="125">
        <f>J26-J99</f>
        <v>0</v>
      </c>
      <c r="O101" s="125">
        <f>O28-O99</f>
        <v>0</v>
      </c>
      <c r="T101" s="125">
        <f>T21-T99</f>
        <v>0</v>
      </c>
      <c r="Z101" s="121"/>
      <c r="AA101" s="121"/>
      <c r="AB101" s="121"/>
      <c r="AC101" s="121"/>
      <c r="AD101" s="125">
        <f>AD61-AD99</f>
        <v>0</v>
      </c>
      <c r="AF101" s="4"/>
      <c r="AG101" s="4"/>
      <c r="AH101" s="4"/>
      <c r="AI101" s="125">
        <f>AI29-AI99</f>
        <v>0</v>
      </c>
      <c r="AN101" s="125">
        <f>AN29-AN99</f>
        <v>3492716.8900000006</v>
      </c>
      <c r="AO101" s="4"/>
      <c r="AP101" s="4"/>
      <c r="AQ101" s="4"/>
      <c r="AR101" s="4"/>
      <c r="AS101" s="125">
        <f>AS39-AS99</f>
        <v>0</v>
      </c>
      <c r="AT101" s="4"/>
      <c r="AU101" s="4"/>
      <c r="AV101" s="4"/>
      <c r="AW101" s="4"/>
      <c r="AX101" s="125">
        <f>AX39-AX99</f>
        <v>0</v>
      </c>
      <c r="AY101" s="4"/>
      <c r="AZ101" s="4"/>
      <c r="BA101" s="4"/>
      <c r="BB101" s="4"/>
      <c r="BC101" s="125">
        <f>BC29-BC99</f>
        <v>3288310.2380116768</v>
      </c>
      <c r="BD101" s="4"/>
      <c r="BE101" s="4"/>
      <c r="BF101" s="4"/>
      <c r="BG101" s="4"/>
      <c r="BH101" s="121"/>
      <c r="BI101" s="125"/>
      <c r="BJ101" s="125"/>
      <c r="BK101" s="125"/>
      <c r="BL101" s="125"/>
      <c r="BM101" s="125">
        <f>BM50-BM99</f>
        <v>-3095135.719882831</v>
      </c>
      <c r="BN101" s="121"/>
      <c r="BO101" s="121"/>
      <c r="BP101" s="1"/>
      <c r="BQ101" s="1"/>
      <c r="BR101" s="1"/>
      <c r="BS101" s="1"/>
      <c r="BT101" s="1"/>
      <c r="BU101" s="1"/>
      <c r="BV101" s="1"/>
      <c r="BW101" s="1"/>
      <c r="BX101" s="1"/>
      <c r="BY101" s="1"/>
      <c r="BZ101" s="1"/>
      <c r="CA101" s="1"/>
      <c r="CB101" s="1"/>
      <c r="CD101" s="224"/>
      <c r="CE101" s="224"/>
      <c r="CF101" s="224"/>
      <c r="CG101" s="224"/>
    </row>
    <row r="102" spans="1:85" s="3" customFormat="1" outlineLevel="1">
      <c r="A102" s="9">
        <v>90</v>
      </c>
      <c r="B102" s="123"/>
      <c r="C102" s="123"/>
      <c r="D102" s="123"/>
      <c r="E102" s="121"/>
      <c r="G102" s="4"/>
      <c r="H102" s="4"/>
      <c r="I102" s="4"/>
      <c r="Y102" s="415">
        <v>-8389017.6852083318</v>
      </c>
      <c r="Z102" s="121"/>
      <c r="AA102" s="121"/>
      <c r="AB102" s="121"/>
      <c r="AC102" s="121"/>
      <c r="AD102" s="121"/>
      <c r="AF102" s="4"/>
      <c r="AG102" s="4"/>
      <c r="AH102" s="4"/>
      <c r="AI102" s="4"/>
      <c r="AO102" s="4"/>
      <c r="AP102" s="4"/>
      <c r="AQ102" s="4"/>
      <c r="AR102" s="4"/>
      <c r="AS102" s="4"/>
      <c r="AT102" s="4"/>
      <c r="AU102" s="4"/>
      <c r="AV102" s="4"/>
      <c r="AW102" s="4"/>
      <c r="AX102" s="121"/>
      <c r="AY102" s="4"/>
      <c r="AZ102" s="4"/>
      <c r="BA102" s="4"/>
      <c r="BB102" s="4"/>
      <c r="BC102" s="121"/>
      <c r="BD102" s="4"/>
      <c r="BE102" s="4"/>
      <c r="BF102" s="4"/>
      <c r="BG102" s="4"/>
      <c r="BH102" s="125">
        <v>5739614.9999999851</v>
      </c>
      <c r="BI102" s="121"/>
      <c r="BJ102" s="121"/>
      <c r="BK102" s="121"/>
      <c r="BL102" s="121"/>
      <c r="BM102" s="121"/>
      <c r="BN102" s="121"/>
      <c r="BO102" s="121"/>
      <c r="BP102" s="1"/>
      <c r="BQ102" s="1"/>
      <c r="BR102" s="1"/>
      <c r="BS102" s="1"/>
      <c r="BT102" s="1"/>
      <c r="BU102" s="1"/>
      <c r="BV102" s="1"/>
      <c r="BW102" s="1"/>
      <c r="BX102" s="1"/>
      <c r="BY102" s="1"/>
      <c r="BZ102" s="1"/>
      <c r="CA102" s="1"/>
      <c r="CB102" s="1"/>
      <c r="CD102" s="224"/>
      <c r="CE102" s="224"/>
      <c r="CF102" s="224"/>
      <c r="CG102" s="224"/>
    </row>
    <row r="103" spans="1:85" s="3" customFormat="1" outlineLevel="1">
      <c r="A103" s="9">
        <v>91</v>
      </c>
      <c r="B103" s="126" t="s">
        <v>156</v>
      </c>
      <c r="C103" s="123"/>
      <c r="D103" s="123"/>
      <c r="E103" s="125">
        <v>0</v>
      </c>
      <c r="G103" s="4"/>
      <c r="H103" s="4"/>
      <c r="I103" s="4"/>
      <c r="J103" s="125">
        <v>0</v>
      </c>
      <c r="O103" s="125">
        <v>-1969341.3363122563</v>
      </c>
      <c r="T103" s="125">
        <v>0</v>
      </c>
      <c r="Y103" s="121"/>
      <c r="Z103" s="121"/>
      <c r="AA103" s="121"/>
      <c r="AB103" s="121"/>
      <c r="AC103" s="121"/>
      <c r="AD103" s="125">
        <v>-44085326.485419191</v>
      </c>
      <c r="AF103" s="4"/>
      <c r="AG103" s="4"/>
      <c r="AH103" s="4"/>
      <c r="AI103" s="125">
        <v>2842787.0613208562</v>
      </c>
      <c r="AN103" s="125">
        <v>5131869.0972135225</v>
      </c>
      <c r="AO103" s="4"/>
      <c r="AP103" s="4"/>
      <c r="AQ103" s="4"/>
      <c r="AR103" s="4"/>
      <c r="AS103" s="125">
        <v>18140954.406375196</v>
      </c>
      <c r="AT103" s="4"/>
      <c r="AU103" s="4"/>
      <c r="AV103" s="4"/>
      <c r="AW103" s="4"/>
      <c r="AX103" s="125">
        <v>19004590.008907948</v>
      </c>
      <c r="AY103" s="4"/>
      <c r="AZ103" s="4"/>
      <c r="BA103" s="4"/>
      <c r="BB103" s="4"/>
      <c r="BC103" s="125">
        <v>-4108724.3018971421</v>
      </c>
      <c r="BD103" s="4"/>
      <c r="BE103" s="4"/>
      <c r="BF103" s="4"/>
      <c r="BG103" s="4"/>
      <c r="BH103" s="121"/>
      <c r="BI103" s="416"/>
      <c r="BJ103" s="121"/>
      <c r="BK103" s="121"/>
      <c r="BL103" s="121"/>
      <c r="BM103" s="125">
        <v>-54762869.208236404</v>
      </c>
      <c r="BN103" s="121"/>
      <c r="BO103" s="121"/>
      <c r="BP103" s="1"/>
      <c r="BQ103" s="1"/>
      <c r="BR103" s="1"/>
      <c r="BS103" s="1"/>
      <c r="BT103" s="1"/>
      <c r="BU103" s="1"/>
      <c r="BV103" s="1"/>
      <c r="BW103" s="1"/>
      <c r="BX103" s="1"/>
      <c r="BY103" s="1"/>
      <c r="BZ103" s="1"/>
      <c r="CA103" s="1"/>
      <c r="CB103" s="1"/>
      <c r="CD103" s="224"/>
      <c r="CE103" s="224"/>
      <c r="CF103" s="224"/>
      <c r="CG103" s="224"/>
    </row>
    <row r="104" spans="1:85" s="3" customFormat="1" outlineLevel="1">
      <c r="A104" s="9">
        <v>92</v>
      </c>
      <c r="B104" s="123"/>
      <c r="C104" s="123"/>
      <c r="D104" s="123"/>
      <c r="E104" s="121"/>
      <c r="G104" s="4"/>
      <c r="H104" s="4"/>
      <c r="I104" s="4"/>
      <c r="J104" s="121"/>
      <c r="O104" s="121"/>
      <c r="T104" s="121"/>
      <c r="Y104" s="415">
        <f>Y68-Y102</f>
        <v>7751323.3649583347</v>
      </c>
      <c r="Z104" s="121"/>
      <c r="AA104" s="121"/>
      <c r="AB104" s="121"/>
      <c r="AC104" s="121"/>
      <c r="AD104" s="121"/>
      <c r="AF104" s="4"/>
      <c r="AG104" s="4"/>
      <c r="AH104" s="4"/>
      <c r="AI104" s="121"/>
      <c r="AN104" s="121"/>
      <c r="AO104" s="4"/>
      <c r="AP104" s="4"/>
      <c r="AQ104" s="4"/>
      <c r="AR104" s="4"/>
      <c r="AS104" s="121"/>
      <c r="AT104" s="4"/>
      <c r="AU104" s="4"/>
      <c r="AV104" s="4"/>
      <c r="AW104" s="4"/>
      <c r="AX104" s="121"/>
      <c r="AY104" s="4"/>
      <c r="AZ104" s="4"/>
      <c r="BA104" s="4"/>
      <c r="BB104" s="4"/>
      <c r="BC104" s="121"/>
      <c r="BD104" s="4"/>
      <c r="BE104" s="4"/>
      <c r="BF104" s="4"/>
      <c r="BG104" s="4"/>
      <c r="BH104" s="125">
        <f>BH15-BH102</f>
        <v>63899999.979849756</v>
      </c>
      <c r="BM104" s="121"/>
      <c r="BN104" s="121"/>
      <c r="BO104" s="121"/>
      <c r="BP104" s="1"/>
      <c r="BQ104" s="1"/>
      <c r="BR104" s="1"/>
      <c r="BS104" s="1"/>
      <c r="BT104" s="1"/>
      <c r="BU104" s="1"/>
      <c r="BV104" s="1"/>
      <c r="BW104" s="1"/>
      <c r="BX104" s="1"/>
      <c r="BY104" s="1"/>
      <c r="BZ104" s="1"/>
      <c r="CA104" s="1"/>
      <c r="CB104" s="1"/>
      <c r="CD104" s="224"/>
      <c r="CE104" s="224"/>
      <c r="CF104" s="224"/>
      <c r="CG104" s="224"/>
    </row>
    <row r="105" spans="1:85" s="3" customFormat="1" outlineLevel="1">
      <c r="A105" s="9">
        <v>93</v>
      </c>
      <c r="B105" s="126" t="s">
        <v>0</v>
      </c>
      <c r="C105" s="123"/>
      <c r="D105" s="123"/>
      <c r="E105" s="125">
        <v>0</v>
      </c>
      <c r="G105" s="4"/>
      <c r="H105" s="4"/>
      <c r="I105" s="4"/>
      <c r="J105" s="125">
        <v>0</v>
      </c>
      <c r="O105" s="125">
        <f>O20-O103</f>
        <v>0</v>
      </c>
      <c r="T105" s="125">
        <v>0</v>
      </c>
      <c r="Y105" s="415"/>
      <c r="Z105" s="121"/>
      <c r="AA105" s="121"/>
      <c r="AB105" s="121"/>
      <c r="AC105" s="121"/>
      <c r="AD105" s="125">
        <f>AD33-AD103</f>
        <v>0</v>
      </c>
      <c r="AF105" s="4"/>
      <c r="AG105" s="4"/>
      <c r="AH105" s="4"/>
      <c r="AI105" s="125">
        <f>AI19-AI103</f>
        <v>0</v>
      </c>
      <c r="AN105" s="125">
        <f>AN18-AN103</f>
        <v>-5131869.0972135225</v>
      </c>
      <c r="AO105" s="4"/>
      <c r="AP105" s="4"/>
      <c r="AQ105" s="4"/>
      <c r="AR105" s="4"/>
      <c r="AS105" s="125">
        <f>AS19+AS27-AS103</f>
        <v>0</v>
      </c>
      <c r="AT105" s="4"/>
      <c r="AU105" s="4"/>
      <c r="AV105" s="4"/>
      <c r="AW105" s="4"/>
      <c r="AX105" s="125">
        <f>AX18-AX103</f>
        <v>0</v>
      </c>
      <c r="AY105" s="4"/>
      <c r="AZ105" s="4"/>
      <c r="BA105" s="4"/>
      <c r="BB105" s="4"/>
      <c r="BC105" s="125">
        <f>BC20-BC103</f>
        <v>1644155.1190058426</v>
      </c>
      <c r="BD105" s="4"/>
      <c r="BE105" s="4"/>
      <c r="BF105" s="4"/>
      <c r="BG105" s="4"/>
      <c r="BH105" s="4"/>
      <c r="BM105" s="125">
        <f>BL96-BM103</f>
        <v>54762869.208236404</v>
      </c>
      <c r="BN105" s="121"/>
      <c r="BO105" s="121"/>
      <c r="BP105" s="1"/>
      <c r="BQ105" s="1"/>
      <c r="BR105" s="1"/>
      <c r="BS105" s="1"/>
      <c r="BT105" s="1"/>
      <c r="BU105" s="1"/>
      <c r="BV105" s="1"/>
      <c r="BW105" s="1"/>
      <c r="BX105" s="1"/>
      <c r="BY105" s="1"/>
      <c r="BZ105" s="1"/>
      <c r="CA105" s="1"/>
      <c r="CB105" s="1"/>
      <c r="CD105" s="224"/>
      <c r="CE105" s="224"/>
      <c r="CF105" s="224"/>
      <c r="CG105" s="224"/>
    </row>
    <row r="106" spans="1:85" s="3" customFormat="1">
      <c r="A106" s="9"/>
      <c r="B106" s="123"/>
      <c r="C106" s="123"/>
      <c r="D106" s="123"/>
      <c r="E106" s="123"/>
      <c r="G106" s="4"/>
      <c r="H106" s="4"/>
      <c r="I106" s="4"/>
      <c r="J106" s="4"/>
      <c r="Y106" s="415">
        <v>0</v>
      </c>
      <c r="Z106" s="121"/>
      <c r="AA106" s="121"/>
      <c r="AB106" s="121"/>
      <c r="AC106" s="121"/>
      <c r="AD106" s="121"/>
      <c r="AF106" s="4"/>
      <c r="AG106" s="4"/>
      <c r="AH106" s="4"/>
      <c r="AI106" s="4"/>
      <c r="AO106" s="4"/>
      <c r="AP106" s="4"/>
      <c r="AQ106" s="4"/>
      <c r="AR106" s="4"/>
      <c r="AS106" s="4"/>
      <c r="AT106" s="4"/>
      <c r="AU106" s="4"/>
      <c r="AV106" s="4"/>
      <c r="AW106" s="4"/>
      <c r="AX106" s="4"/>
      <c r="AY106" s="4"/>
      <c r="AZ106" s="4"/>
      <c r="BA106" s="4"/>
      <c r="BB106" s="4"/>
      <c r="BC106" s="4"/>
      <c r="BD106" s="4"/>
      <c r="BE106" s="4"/>
      <c r="BF106" s="4"/>
      <c r="BG106" s="4"/>
      <c r="BH106" s="4"/>
      <c r="BN106" s="121"/>
      <c r="BO106" s="121"/>
      <c r="BP106" s="1"/>
      <c r="BQ106" s="1"/>
      <c r="BR106" s="1"/>
      <c r="BS106" s="1"/>
      <c r="BT106" s="1"/>
      <c r="BU106" s="1"/>
      <c r="BV106" s="1"/>
      <c r="BW106" s="1"/>
      <c r="BX106" s="1"/>
      <c r="BY106" s="1"/>
      <c r="BZ106" s="1"/>
      <c r="CA106" s="1"/>
      <c r="CB106" s="1"/>
      <c r="CD106" s="224"/>
      <c r="CE106" s="224"/>
      <c r="CF106" s="224"/>
      <c r="CG106" s="224"/>
    </row>
    <row r="107" spans="1:85" s="3" customFormat="1">
      <c r="A107" s="9"/>
      <c r="B107" s="123"/>
      <c r="C107" s="123"/>
      <c r="D107" s="123"/>
      <c r="E107" s="123"/>
      <c r="G107" s="4"/>
      <c r="H107" s="4"/>
      <c r="I107" s="4"/>
      <c r="J107" s="4"/>
      <c r="Y107" s="121"/>
      <c r="Z107" s="121"/>
      <c r="AA107" s="121"/>
      <c r="AB107" s="121"/>
      <c r="AC107" s="121"/>
      <c r="AD107" s="121"/>
      <c r="AF107" s="4"/>
      <c r="AG107" s="4"/>
      <c r="AH107" s="4"/>
      <c r="AI107" s="4"/>
      <c r="AO107" s="4"/>
      <c r="AP107" s="4"/>
      <c r="AQ107" s="4"/>
      <c r="AR107" s="4"/>
      <c r="AS107" s="4"/>
      <c r="AT107" s="4"/>
      <c r="AU107" s="4"/>
      <c r="AV107" s="4"/>
      <c r="AW107" s="4"/>
      <c r="AX107" s="4"/>
      <c r="AY107" s="4"/>
      <c r="AZ107" s="4"/>
      <c r="BA107" s="4"/>
      <c r="BB107" s="4"/>
      <c r="BC107" s="4"/>
      <c r="BD107" s="4"/>
      <c r="BE107" s="4"/>
      <c r="BF107" s="4"/>
      <c r="BG107" s="4"/>
      <c r="BH107" s="4"/>
      <c r="BN107" s="121"/>
      <c r="BO107" s="121"/>
      <c r="BP107" s="1"/>
      <c r="BQ107" s="1"/>
      <c r="BR107" s="1"/>
      <c r="BS107" s="1"/>
      <c r="BT107" s="1"/>
      <c r="BU107" s="1"/>
      <c r="BV107" s="1"/>
      <c r="BW107" s="1"/>
      <c r="BX107" s="1"/>
      <c r="BY107" s="1"/>
      <c r="BZ107" s="1"/>
      <c r="CA107" s="1"/>
      <c r="CB107" s="1"/>
      <c r="CD107" s="224"/>
      <c r="CE107" s="224"/>
      <c r="CF107" s="224"/>
      <c r="CG107" s="224"/>
    </row>
    <row r="108" spans="1:85" s="3" customFormat="1">
      <c r="A108" s="9"/>
      <c r="B108" s="123"/>
      <c r="C108" s="123"/>
      <c r="D108" s="123"/>
      <c r="E108" s="123"/>
      <c r="G108" s="4"/>
      <c r="H108" s="4"/>
      <c r="I108" s="4"/>
      <c r="J108" s="4"/>
      <c r="Y108" s="415">
        <v>0</v>
      </c>
      <c r="Z108" s="121"/>
      <c r="AA108" s="121"/>
      <c r="AB108" s="121"/>
      <c r="AC108" s="121"/>
      <c r="AD108" s="121"/>
      <c r="AF108" s="4"/>
      <c r="AG108" s="4"/>
      <c r="AH108" s="4"/>
      <c r="AI108" s="4"/>
      <c r="AO108" s="4"/>
      <c r="AP108" s="4"/>
      <c r="AQ108" s="4"/>
      <c r="AR108" s="4"/>
      <c r="AS108" s="4"/>
      <c r="AT108" s="4"/>
      <c r="AU108" s="4"/>
      <c r="AV108" s="4"/>
      <c r="AW108" s="4"/>
      <c r="AX108" s="4"/>
      <c r="AY108" s="4"/>
      <c r="AZ108" s="4"/>
      <c r="BA108" s="4"/>
      <c r="BB108" s="4"/>
      <c r="BC108" s="4"/>
      <c r="BD108" s="4"/>
      <c r="BE108" s="4"/>
      <c r="BF108" s="4"/>
      <c r="BG108" s="4"/>
      <c r="BH108" s="4"/>
      <c r="BN108" s="121"/>
      <c r="BO108" s="121"/>
      <c r="BP108" s="1"/>
      <c r="BQ108" s="1"/>
      <c r="BR108" s="1"/>
      <c r="BS108" s="1"/>
      <c r="BT108" s="1"/>
      <c r="BU108" s="1"/>
      <c r="BV108" s="1"/>
      <c r="BW108" s="1"/>
      <c r="BX108" s="1"/>
      <c r="BY108" s="1"/>
      <c r="BZ108" s="1"/>
      <c r="CA108" s="1"/>
      <c r="CB108" s="1"/>
      <c r="CD108" s="224"/>
      <c r="CE108" s="224"/>
      <c r="CF108" s="224"/>
      <c r="CG108" s="224"/>
    </row>
    <row r="109" spans="1:85" s="3" customFormat="1">
      <c r="A109" s="9"/>
      <c r="B109" s="123"/>
      <c r="C109" s="123"/>
      <c r="D109" s="123"/>
      <c r="E109" s="123"/>
      <c r="G109" s="4"/>
      <c r="H109" s="4"/>
      <c r="I109" s="4"/>
      <c r="J109" s="4"/>
      <c r="Z109" s="121"/>
      <c r="AA109" s="121"/>
      <c r="AB109" s="121"/>
      <c r="AC109" s="121"/>
      <c r="AD109" s="121"/>
      <c r="AF109" s="4"/>
      <c r="AG109" s="4"/>
      <c r="AH109" s="4"/>
      <c r="AI109" s="4"/>
      <c r="AO109" s="4"/>
      <c r="AP109" s="4"/>
      <c r="AQ109" s="4"/>
      <c r="AR109" s="4"/>
      <c r="AS109" s="4"/>
      <c r="AT109" s="4"/>
      <c r="AU109" s="4"/>
      <c r="AV109" s="4"/>
      <c r="AW109" s="4"/>
      <c r="AX109" s="4"/>
      <c r="AY109" s="4"/>
      <c r="AZ109" s="4"/>
      <c r="BA109" s="4"/>
      <c r="BB109" s="4"/>
      <c r="BC109" s="4"/>
      <c r="BD109" s="4"/>
      <c r="BE109" s="4"/>
      <c r="BF109" s="4"/>
      <c r="BG109" s="4"/>
      <c r="BH109" s="4"/>
      <c r="BN109" s="121"/>
      <c r="BO109" s="121"/>
      <c r="BP109" s="1"/>
      <c r="BQ109" s="1"/>
      <c r="BR109" s="1"/>
      <c r="BS109" s="1"/>
      <c r="BT109" s="1"/>
      <c r="BU109" s="1"/>
      <c r="BV109" s="1"/>
      <c r="BW109" s="1"/>
      <c r="BX109" s="1"/>
      <c r="BY109" s="1"/>
      <c r="BZ109" s="1"/>
      <c r="CA109" s="1"/>
      <c r="CB109" s="1"/>
      <c r="CD109" s="224"/>
      <c r="CE109" s="224"/>
      <c r="CF109" s="224"/>
      <c r="CG109" s="224"/>
    </row>
    <row r="110" spans="1:85" s="3" customFormat="1">
      <c r="A110" s="9"/>
      <c r="B110" s="123"/>
      <c r="C110" s="123"/>
      <c r="D110" s="123"/>
      <c r="E110" s="123"/>
      <c r="G110" s="4"/>
      <c r="H110" s="4"/>
      <c r="I110" s="4"/>
      <c r="J110" s="4"/>
      <c r="Z110" s="121"/>
      <c r="AA110" s="121"/>
      <c r="AB110" s="121"/>
      <c r="AC110" s="121"/>
      <c r="AD110" s="121"/>
      <c r="AF110" s="4"/>
      <c r="AG110" s="4"/>
      <c r="AH110" s="4"/>
      <c r="AI110" s="4"/>
      <c r="AO110" s="4"/>
      <c r="AP110" s="4"/>
      <c r="AQ110" s="4"/>
      <c r="AR110" s="4"/>
      <c r="AS110" s="4"/>
      <c r="AT110" s="4"/>
      <c r="AU110" s="4"/>
      <c r="AV110" s="4"/>
      <c r="AW110" s="4"/>
      <c r="AX110" s="4"/>
      <c r="AY110" s="4"/>
      <c r="AZ110" s="4"/>
      <c r="BA110" s="4"/>
      <c r="BB110" s="4"/>
      <c r="BC110" s="4"/>
      <c r="BD110" s="4"/>
      <c r="BE110" s="4"/>
      <c r="BF110" s="4"/>
      <c r="BG110" s="4"/>
      <c r="BH110" s="4"/>
      <c r="BN110" s="121"/>
      <c r="BO110" s="121"/>
      <c r="BP110" s="1"/>
      <c r="BQ110" s="1"/>
      <c r="BR110" s="1"/>
      <c r="BS110" s="1"/>
      <c r="BT110" s="1"/>
      <c r="BU110" s="1"/>
      <c r="BV110" s="1"/>
      <c r="BW110" s="1"/>
      <c r="BX110" s="1"/>
      <c r="BY110" s="1"/>
      <c r="BZ110" s="1"/>
      <c r="CA110" s="1"/>
      <c r="CB110" s="1"/>
      <c r="CD110" s="224"/>
      <c r="CE110" s="224"/>
      <c r="CF110" s="224"/>
      <c r="CG110" s="224"/>
    </row>
    <row r="111" spans="1:85">
      <c r="A111" s="9"/>
      <c r="B111" s="123"/>
      <c r="C111" s="123"/>
      <c r="D111" s="123"/>
      <c r="E111" s="123"/>
      <c r="G111" s="4"/>
      <c r="H111" s="4"/>
      <c r="I111" s="4"/>
      <c r="J111" s="4"/>
      <c r="Z111" s="121"/>
      <c r="AA111" s="121"/>
      <c r="AB111" s="121"/>
      <c r="AC111" s="121"/>
      <c r="AD111" s="121"/>
      <c r="AF111" s="4"/>
      <c r="AG111" s="4"/>
      <c r="AH111" s="4"/>
      <c r="AI111" s="4"/>
      <c r="AO111" s="4"/>
      <c r="AP111" s="4"/>
      <c r="AQ111" s="4"/>
      <c r="AR111" s="4"/>
      <c r="AS111" s="4"/>
      <c r="AT111" s="4"/>
      <c r="AU111" s="4"/>
      <c r="AV111" s="4"/>
      <c r="AW111" s="4"/>
      <c r="AX111" s="4"/>
      <c r="AY111" s="4"/>
      <c r="AZ111" s="4"/>
      <c r="BA111" s="4"/>
      <c r="BB111" s="4"/>
      <c r="BC111" s="4"/>
      <c r="BD111" s="4"/>
      <c r="BE111" s="4"/>
      <c r="BF111" s="4"/>
      <c r="BG111" s="4"/>
      <c r="BH111" s="4"/>
      <c r="BN111" s="121"/>
      <c r="BO111" s="121"/>
    </row>
    <row r="112" spans="1:85">
      <c r="A112" s="9"/>
      <c r="B112" s="123"/>
      <c r="C112" s="123"/>
      <c r="D112" s="123"/>
      <c r="E112" s="123"/>
      <c r="G112" s="4"/>
      <c r="H112" s="4"/>
      <c r="I112" s="4"/>
      <c r="J112" s="4"/>
      <c r="Z112" s="121"/>
      <c r="AA112" s="121"/>
      <c r="AB112" s="121"/>
      <c r="AC112" s="121"/>
      <c r="AD112" s="121"/>
      <c r="AF112" s="4"/>
      <c r="AG112" s="4"/>
      <c r="AH112" s="4"/>
      <c r="AI112" s="4"/>
      <c r="AO112" s="4"/>
      <c r="AP112" s="4"/>
      <c r="AQ112" s="4"/>
      <c r="AR112" s="4"/>
      <c r="AS112" s="4"/>
      <c r="AT112" s="4"/>
      <c r="AU112" s="4"/>
      <c r="AV112" s="4"/>
      <c r="AW112" s="4"/>
      <c r="AX112" s="4"/>
      <c r="AY112" s="4"/>
      <c r="AZ112" s="4"/>
      <c r="BA112" s="4"/>
      <c r="BB112" s="4"/>
      <c r="BC112" s="4"/>
      <c r="BD112" s="4"/>
      <c r="BE112" s="4"/>
      <c r="BF112" s="4"/>
      <c r="BG112" s="4"/>
      <c r="BH112" s="4"/>
      <c r="BN112" s="121"/>
      <c r="BO112" s="121"/>
    </row>
    <row r="113" spans="1:67">
      <c r="A113" s="9"/>
      <c r="B113" s="123"/>
      <c r="C113" s="123"/>
      <c r="D113" s="123"/>
      <c r="E113" s="123"/>
      <c r="G113" s="4"/>
      <c r="H113" s="4"/>
      <c r="I113" s="4"/>
      <c r="J113" s="4"/>
      <c r="Z113" s="121"/>
      <c r="AA113" s="121"/>
      <c r="AB113" s="121"/>
      <c r="AC113" s="121"/>
      <c r="AD113" s="121"/>
      <c r="AF113" s="4"/>
      <c r="AG113" s="4"/>
      <c r="AH113" s="4"/>
      <c r="AI113" s="4"/>
      <c r="AO113" s="4"/>
      <c r="AP113" s="4"/>
      <c r="AQ113" s="4"/>
      <c r="AR113" s="4"/>
      <c r="AS113" s="4"/>
      <c r="AT113" s="4"/>
      <c r="AU113" s="4"/>
      <c r="AV113" s="4"/>
      <c r="AW113" s="4"/>
      <c r="AX113" s="4"/>
      <c r="AY113" s="4"/>
      <c r="AZ113" s="4"/>
      <c r="BA113" s="4"/>
      <c r="BB113" s="4"/>
      <c r="BC113" s="4"/>
      <c r="BD113" s="4"/>
      <c r="BE113" s="4"/>
      <c r="BF113" s="4"/>
      <c r="BG113" s="4"/>
      <c r="BH113" s="4"/>
      <c r="BN113" s="121"/>
      <c r="BO113" s="121"/>
    </row>
    <row r="114" spans="1:67">
      <c r="A114" s="9"/>
      <c r="B114" s="123"/>
      <c r="C114" s="123"/>
      <c r="D114" s="123"/>
      <c r="E114" s="123"/>
      <c r="G114" s="4"/>
      <c r="H114" s="4"/>
      <c r="I114" s="4"/>
      <c r="J114" s="4"/>
      <c r="Z114" s="121"/>
      <c r="AA114" s="121"/>
      <c r="AB114" s="121"/>
      <c r="AC114" s="121"/>
      <c r="AD114" s="121"/>
      <c r="AF114" s="4"/>
      <c r="AG114" s="4"/>
      <c r="AH114" s="4"/>
      <c r="AI114" s="4"/>
      <c r="AO114" s="4"/>
      <c r="AP114" s="4"/>
      <c r="AQ114" s="4"/>
      <c r="AR114" s="4"/>
      <c r="AS114" s="4"/>
      <c r="AT114" s="4"/>
      <c r="AU114" s="4"/>
      <c r="AV114" s="4"/>
      <c r="AW114" s="4"/>
      <c r="AX114" s="4"/>
      <c r="AY114" s="4"/>
      <c r="AZ114" s="4"/>
      <c r="BA114" s="4"/>
      <c r="BB114" s="4"/>
      <c r="BC114" s="4"/>
      <c r="BD114" s="4"/>
      <c r="BE114" s="4"/>
      <c r="BF114" s="4"/>
      <c r="BG114" s="4"/>
      <c r="BH114" s="4"/>
      <c r="BN114" s="121"/>
      <c r="BO114" s="121"/>
    </row>
    <row r="115" spans="1:67">
      <c r="A115" s="9"/>
      <c r="B115" s="123"/>
      <c r="C115" s="123"/>
      <c r="D115" s="123"/>
      <c r="E115" s="123"/>
      <c r="G115" s="4"/>
      <c r="H115" s="4"/>
      <c r="I115" s="4"/>
      <c r="J115" s="4"/>
      <c r="Z115" s="121"/>
      <c r="AA115" s="121"/>
      <c r="AB115" s="121"/>
      <c r="AC115" s="121"/>
      <c r="AD115" s="121"/>
      <c r="AF115" s="4"/>
      <c r="AG115" s="4"/>
      <c r="AH115" s="4"/>
      <c r="AI115" s="4"/>
      <c r="AO115" s="4"/>
      <c r="AP115" s="4"/>
      <c r="AQ115" s="4"/>
      <c r="AR115" s="4"/>
      <c r="AS115" s="4"/>
      <c r="AT115" s="4"/>
      <c r="AU115" s="4"/>
      <c r="AV115" s="4"/>
      <c r="AW115" s="4"/>
      <c r="AX115" s="4"/>
      <c r="AY115" s="4"/>
      <c r="AZ115" s="4"/>
      <c r="BA115" s="4"/>
      <c r="BB115" s="4"/>
      <c r="BC115" s="4"/>
      <c r="BD115" s="4"/>
      <c r="BE115" s="4"/>
      <c r="BF115" s="4"/>
      <c r="BG115" s="4"/>
      <c r="BH115" s="4"/>
      <c r="BN115" s="121"/>
      <c r="BO115" s="121"/>
    </row>
    <row r="116" spans="1:67">
      <c r="A116" s="9"/>
      <c r="B116" s="123"/>
      <c r="C116" s="123"/>
      <c r="D116" s="123"/>
      <c r="E116" s="123"/>
      <c r="G116" s="4"/>
      <c r="H116" s="4"/>
      <c r="I116" s="4"/>
      <c r="J116" s="4"/>
      <c r="Z116" s="121"/>
      <c r="AA116" s="121"/>
      <c r="AB116" s="121"/>
      <c r="AC116" s="121"/>
      <c r="AD116" s="121"/>
      <c r="AF116" s="4"/>
      <c r="AG116" s="4"/>
      <c r="AH116" s="4"/>
      <c r="AI116" s="4"/>
      <c r="AO116" s="4"/>
      <c r="AP116" s="4"/>
      <c r="AQ116" s="4"/>
      <c r="AR116" s="4"/>
      <c r="AS116" s="4"/>
      <c r="AT116" s="4"/>
      <c r="AU116" s="4"/>
      <c r="AV116" s="4"/>
      <c r="AW116" s="4"/>
      <c r="AX116" s="4"/>
      <c r="AY116" s="4"/>
      <c r="AZ116" s="4"/>
      <c r="BA116" s="4"/>
      <c r="BB116" s="4"/>
      <c r="BC116" s="4"/>
      <c r="BD116" s="4"/>
      <c r="BE116" s="4"/>
      <c r="BF116" s="4"/>
      <c r="BG116" s="4"/>
      <c r="BH116" s="4"/>
      <c r="BN116" s="121"/>
      <c r="BO116" s="121"/>
    </row>
    <row r="117" spans="1:67">
      <c r="A117" s="121"/>
      <c r="B117" s="123"/>
      <c r="C117" s="123"/>
      <c r="D117" s="123"/>
      <c r="E117" s="123"/>
      <c r="G117" s="4"/>
      <c r="H117" s="4"/>
      <c r="I117" s="4"/>
      <c r="J117" s="4"/>
      <c r="Z117" s="121"/>
      <c r="AA117" s="121"/>
      <c r="AB117" s="121"/>
      <c r="AC117" s="121"/>
      <c r="AD117" s="121"/>
      <c r="AF117" s="4"/>
      <c r="AG117" s="4"/>
      <c r="AH117" s="4"/>
      <c r="AI117" s="4"/>
      <c r="AO117" s="4"/>
      <c r="AP117" s="4"/>
      <c r="AQ117" s="4"/>
      <c r="AR117" s="4"/>
      <c r="AS117" s="4"/>
      <c r="AT117" s="4"/>
      <c r="AU117" s="4"/>
      <c r="AV117" s="4"/>
      <c r="AW117" s="4"/>
      <c r="AX117" s="4"/>
      <c r="AY117" s="4"/>
      <c r="AZ117" s="4"/>
      <c r="BA117" s="4"/>
      <c r="BB117" s="4"/>
      <c r="BC117" s="4"/>
      <c r="BD117" s="4"/>
      <c r="BE117" s="4"/>
      <c r="BF117" s="4"/>
      <c r="BG117" s="4"/>
      <c r="BH117" s="4"/>
      <c r="BN117" s="121"/>
      <c r="BO117" s="121"/>
    </row>
    <row r="118" spans="1:67">
      <c r="A118" s="121"/>
      <c r="B118" s="123"/>
      <c r="C118" s="123"/>
      <c r="D118" s="123"/>
      <c r="E118" s="123"/>
      <c r="G118" s="4"/>
      <c r="H118" s="4"/>
      <c r="I118" s="4"/>
      <c r="J118" s="4"/>
      <c r="Z118" s="121"/>
      <c r="AA118" s="121"/>
      <c r="AB118" s="121"/>
      <c r="AC118" s="121"/>
      <c r="AD118" s="121"/>
      <c r="AF118" s="4"/>
      <c r="AG118" s="4"/>
      <c r="AH118" s="4"/>
      <c r="AI118" s="4"/>
      <c r="AO118" s="4"/>
      <c r="AP118" s="4"/>
      <c r="AQ118" s="4"/>
      <c r="AR118" s="4"/>
      <c r="AS118" s="4"/>
      <c r="AT118" s="4"/>
      <c r="AU118" s="4"/>
      <c r="AV118" s="4"/>
      <c r="AW118" s="4"/>
      <c r="AX118" s="4"/>
      <c r="AY118" s="4"/>
      <c r="AZ118" s="4"/>
      <c r="BA118" s="4"/>
      <c r="BB118" s="4"/>
      <c r="BC118" s="4"/>
      <c r="BD118" s="4"/>
      <c r="BN118" s="121"/>
      <c r="BO118" s="121"/>
    </row>
    <row r="119" spans="1:67">
      <c r="G119" s="4"/>
      <c r="H119" s="4"/>
      <c r="I119" s="4"/>
      <c r="J119" s="4"/>
      <c r="Z119" s="121"/>
      <c r="AA119" s="121"/>
      <c r="AB119" s="121"/>
      <c r="AC119" s="121"/>
      <c r="AD119" s="121"/>
      <c r="AF119" s="4"/>
      <c r="AG119" s="4"/>
      <c r="AH119" s="4"/>
      <c r="AI119" s="4"/>
      <c r="BJ119" s="224"/>
      <c r="BK119" s="224"/>
      <c r="BL119" s="224"/>
      <c r="BM119" s="224"/>
      <c r="BN119" s="121"/>
      <c r="BO119" s="121"/>
    </row>
    <row r="120" spans="1:67">
      <c r="G120" s="4"/>
      <c r="H120" s="4"/>
      <c r="I120" s="4"/>
      <c r="J120" s="4"/>
      <c r="Z120" s="121"/>
      <c r="AA120" s="121"/>
      <c r="AB120" s="121"/>
      <c r="AC120" s="121"/>
      <c r="AD120" s="121"/>
      <c r="AF120" s="4"/>
      <c r="AG120" s="4"/>
      <c r="AH120" s="4"/>
      <c r="AI120" s="4"/>
      <c r="BJ120" s="224"/>
      <c r="BK120" s="224"/>
      <c r="BL120" s="224"/>
      <c r="BM120" s="224"/>
      <c r="BN120" s="121"/>
      <c r="BO120" s="121"/>
    </row>
    <row r="121" spans="1:67">
      <c r="G121" s="4"/>
      <c r="H121" s="4"/>
      <c r="I121" s="4"/>
      <c r="J121" s="4"/>
      <c r="Z121" s="121"/>
      <c r="AA121" s="121"/>
      <c r="AB121" s="121"/>
      <c r="AC121" s="121"/>
      <c r="AD121" s="121"/>
      <c r="BJ121" s="224"/>
      <c r="BK121" s="224"/>
      <c r="BL121" s="224"/>
      <c r="BM121" s="224"/>
      <c r="BN121" s="121"/>
      <c r="BO121" s="121"/>
    </row>
    <row r="122" spans="1:67">
      <c r="G122" s="4"/>
      <c r="H122" s="4"/>
      <c r="I122" s="4"/>
      <c r="J122" s="4"/>
      <c r="Z122" s="121"/>
      <c r="AA122" s="121"/>
      <c r="AB122" s="121"/>
      <c r="AC122" s="121"/>
      <c r="AD122" s="121"/>
      <c r="BJ122" s="224"/>
      <c r="BK122" s="224"/>
      <c r="BL122" s="224"/>
      <c r="BM122" s="224"/>
      <c r="BN122" s="121"/>
      <c r="BO122" s="121"/>
    </row>
    <row r="123" spans="1:67">
      <c r="G123" s="4"/>
      <c r="H123" s="4"/>
      <c r="I123" s="4"/>
      <c r="J123" s="4"/>
      <c r="Z123" s="121"/>
      <c r="AA123" s="121"/>
      <c r="AB123" s="121"/>
      <c r="AC123" s="121"/>
      <c r="AD123" s="121"/>
      <c r="BJ123" s="224"/>
      <c r="BK123" s="224"/>
      <c r="BL123" s="224"/>
      <c r="BM123" s="224"/>
      <c r="BN123" s="121"/>
      <c r="BO123" s="121"/>
    </row>
    <row r="124" spans="1:67">
      <c r="G124" s="4"/>
      <c r="H124" s="4"/>
      <c r="I124" s="4"/>
      <c r="J124" s="4"/>
      <c r="Z124" s="121"/>
      <c r="AA124" s="121"/>
      <c r="AB124" s="121"/>
      <c r="AC124" s="121"/>
      <c r="AD124" s="121"/>
      <c r="BJ124" s="224"/>
      <c r="BK124" s="224"/>
      <c r="BL124" s="224"/>
      <c r="BM124" s="224"/>
      <c r="BN124" s="121"/>
      <c r="BO124" s="121"/>
    </row>
    <row r="125" spans="1:67">
      <c r="G125" s="4"/>
      <c r="H125" s="4"/>
      <c r="I125" s="4"/>
      <c r="J125" s="4"/>
      <c r="Z125" s="121"/>
      <c r="AA125" s="121"/>
      <c r="AB125" s="121"/>
      <c r="AC125" s="121"/>
      <c r="AD125" s="121"/>
      <c r="BJ125" s="224"/>
      <c r="BK125" s="224"/>
      <c r="BL125" s="224"/>
      <c r="BM125" s="224"/>
      <c r="BN125" s="121"/>
      <c r="BO125" s="121"/>
    </row>
    <row r="126" spans="1:67">
      <c r="G126" s="4"/>
      <c r="H126" s="4"/>
      <c r="I126" s="4"/>
      <c r="J126" s="4"/>
      <c r="Z126" s="121"/>
      <c r="AA126" s="121"/>
      <c r="AB126" s="121"/>
      <c r="AC126" s="121"/>
      <c r="AD126" s="121"/>
      <c r="BJ126" s="224"/>
      <c r="BK126" s="224"/>
      <c r="BL126" s="224"/>
      <c r="BM126" s="224"/>
      <c r="BN126" s="121"/>
      <c r="BO126" s="121"/>
    </row>
    <row r="127" spans="1:67">
      <c r="G127" s="4"/>
      <c r="H127" s="4"/>
      <c r="I127" s="4"/>
      <c r="J127" s="4"/>
      <c r="Z127" s="121"/>
      <c r="AA127" s="121"/>
      <c r="AB127" s="121"/>
      <c r="AC127" s="121"/>
      <c r="AD127" s="121"/>
      <c r="BJ127" s="224"/>
      <c r="BK127" s="224"/>
      <c r="BL127" s="224"/>
      <c r="BM127" s="224"/>
      <c r="BN127" s="121"/>
      <c r="BO127" s="121"/>
    </row>
    <row r="128" spans="1:67">
      <c r="G128" s="4"/>
      <c r="H128" s="4"/>
      <c r="I128" s="4"/>
      <c r="J128" s="4"/>
      <c r="Z128" s="121"/>
      <c r="AA128" s="121"/>
      <c r="AB128" s="121"/>
      <c r="AC128" s="121"/>
      <c r="AD128" s="121"/>
      <c r="BJ128" s="224"/>
      <c r="BK128" s="224"/>
      <c r="BL128" s="224"/>
      <c r="BM128" s="224"/>
      <c r="BN128" s="121"/>
      <c r="BO128" s="121"/>
    </row>
    <row r="129" spans="26:67">
      <c r="Z129" s="121"/>
      <c r="AA129" s="121"/>
      <c r="AB129" s="121"/>
      <c r="AC129" s="121"/>
      <c r="AD129" s="121"/>
      <c r="BJ129" s="224"/>
      <c r="BK129" s="224"/>
      <c r="BL129" s="224"/>
      <c r="BM129" s="224"/>
      <c r="BN129" s="121"/>
      <c r="BO129" s="121"/>
    </row>
    <row r="130" spans="26:67">
      <c r="Z130" s="121"/>
      <c r="AA130" s="121"/>
      <c r="AB130" s="121"/>
      <c r="AC130" s="121"/>
      <c r="AD130" s="121"/>
      <c r="BN130" s="121"/>
      <c r="BO130" s="121"/>
    </row>
    <row r="131" spans="26:67">
      <c r="Z131" s="121"/>
      <c r="AA131" s="121"/>
      <c r="AB131" s="121"/>
      <c r="AC131" s="121"/>
      <c r="AD131" s="121"/>
      <c r="BJ131" s="224"/>
      <c r="BK131" s="224"/>
      <c r="BL131" s="224"/>
      <c r="BM131" s="224"/>
      <c r="BN131" s="121"/>
      <c r="BO131" s="121"/>
    </row>
    <row r="132" spans="26:67">
      <c r="Z132" s="121"/>
      <c r="AA132" s="121"/>
      <c r="AB132" s="121"/>
      <c r="AC132" s="121"/>
      <c r="AD132" s="121"/>
      <c r="BJ132" s="224"/>
      <c r="BK132" s="224"/>
      <c r="BL132" s="224"/>
      <c r="BM132" s="224"/>
      <c r="BN132" s="121"/>
      <c r="BO132" s="121"/>
    </row>
    <row r="133" spans="26:67">
      <c r="Z133" s="121"/>
      <c r="AA133" s="121"/>
      <c r="AB133" s="121"/>
      <c r="AC133" s="121"/>
      <c r="AD133" s="121"/>
      <c r="BJ133" s="224"/>
      <c r="BK133" s="224"/>
      <c r="BL133" s="224"/>
      <c r="BM133" s="224"/>
      <c r="BN133" s="121"/>
    </row>
    <row r="134" spans="26:67">
      <c r="Z134" s="121"/>
      <c r="AA134" s="121"/>
      <c r="AB134" s="121"/>
      <c r="AC134" s="121"/>
      <c r="AD134" s="121"/>
      <c r="BJ134" s="224"/>
      <c r="BK134" s="224"/>
      <c r="BL134" s="224"/>
      <c r="BM134" s="224"/>
    </row>
    <row r="135" spans="26:67">
      <c r="Z135" s="121"/>
      <c r="AA135" s="121"/>
      <c r="AB135" s="121"/>
      <c r="AC135" s="121"/>
      <c r="AD135" s="121"/>
      <c r="BJ135" s="224"/>
      <c r="BK135" s="224"/>
      <c r="BL135" s="224"/>
      <c r="BM135" s="224"/>
    </row>
    <row r="136" spans="26:67">
      <c r="Z136" s="121"/>
      <c r="AA136" s="121"/>
      <c r="AB136" s="121"/>
      <c r="AC136" s="121"/>
      <c r="AD136" s="121"/>
      <c r="BJ136" s="224"/>
      <c r="BK136" s="224"/>
      <c r="BL136" s="224"/>
      <c r="BM136" s="224"/>
    </row>
    <row r="137" spans="26:67">
      <c r="Z137" s="121"/>
      <c r="AA137" s="121"/>
      <c r="AB137" s="121"/>
      <c r="AC137" s="121"/>
      <c r="AD137" s="121"/>
      <c r="BJ137" s="224"/>
      <c r="BK137" s="224"/>
      <c r="BL137" s="224"/>
      <c r="BM137" s="224"/>
    </row>
    <row r="138" spans="26:67">
      <c r="Z138" s="121"/>
      <c r="AA138" s="121"/>
      <c r="AB138" s="121"/>
      <c r="AC138" s="121"/>
      <c r="AD138" s="121"/>
    </row>
    <row r="139" spans="26:67">
      <c r="Z139" s="121"/>
      <c r="AA139" s="121"/>
      <c r="AB139" s="121"/>
      <c r="AC139" s="121"/>
      <c r="AD139" s="121"/>
    </row>
    <row r="140" spans="26:67">
      <c r="Z140" s="121"/>
      <c r="AA140" s="121"/>
      <c r="AB140" s="121"/>
      <c r="AC140" s="121"/>
      <c r="AD140" s="121"/>
    </row>
    <row r="141" spans="26:67">
      <c r="Z141" s="121"/>
      <c r="AA141" s="121"/>
      <c r="AB141" s="121"/>
      <c r="AC141" s="121"/>
      <c r="AD141" s="121"/>
      <c r="BJ141" s="224"/>
      <c r="BK141" s="224"/>
      <c r="BL141" s="224"/>
      <c r="BM141" s="224"/>
    </row>
    <row r="142" spans="26:67">
      <c r="Z142" s="121"/>
      <c r="AA142" s="121"/>
      <c r="AB142" s="121"/>
      <c r="AC142" s="121"/>
      <c r="AD142" s="121"/>
      <c r="BJ142" s="224"/>
      <c r="BK142" s="224"/>
      <c r="BL142" s="224"/>
      <c r="BM142" s="224"/>
    </row>
    <row r="143" spans="26:67">
      <c r="Z143" s="121"/>
      <c r="AA143" s="121"/>
      <c r="AB143" s="121"/>
      <c r="AC143" s="121"/>
      <c r="AD143" s="121"/>
      <c r="BJ143" s="224"/>
      <c r="BK143" s="224"/>
      <c r="BL143" s="224"/>
      <c r="BM143" s="224"/>
    </row>
    <row r="144" spans="26:67">
      <c r="Z144" s="121"/>
      <c r="AA144" s="121"/>
      <c r="AB144" s="121"/>
      <c r="AC144" s="121"/>
      <c r="AD144" s="121"/>
      <c r="BJ144" s="224"/>
      <c r="BK144" s="224"/>
      <c r="BL144" s="224"/>
      <c r="BM144" s="224"/>
    </row>
    <row r="145" spans="26:65">
      <c r="Z145" s="121"/>
      <c r="AA145" s="121"/>
      <c r="AB145" s="121"/>
      <c r="AC145" s="121"/>
      <c r="AD145" s="121"/>
      <c r="BJ145" s="224"/>
      <c r="BK145" s="224"/>
      <c r="BL145" s="224"/>
      <c r="BM145" s="224"/>
    </row>
    <row r="146" spans="26:65">
      <c r="Z146" s="121"/>
      <c r="AA146" s="121"/>
      <c r="AB146" s="121"/>
      <c r="AC146" s="121"/>
      <c r="AD146" s="121"/>
      <c r="BJ146" s="224"/>
      <c r="BK146" s="224"/>
      <c r="BL146" s="224"/>
      <c r="BM146" s="224"/>
    </row>
    <row r="147" spans="26:65">
      <c r="Z147" s="121"/>
      <c r="AA147" s="121"/>
      <c r="AB147" s="121"/>
      <c r="AC147" s="121"/>
      <c r="AD147" s="121"/>
      <c r="BJ147" s="224"/>
      <c r="BK147" s="224"/>
      <c r="BL147" s="224"/>
      <c r="BM147" s="224"/>
    </row>
    <row r="148" spans="26:65">
      <c r="Z148" s="121"/>
      <c r="AA148" s="121"/>
      <c r="AB148" s="121"/>
      <c r="AC148" s="121"/>
      <c r="AD148" s="121"/>
      <c r="BJ148" s="224"/>
      <c r="BK148" s="224"/>
      <c r="BL148" s="224"/>
      <c r="BM148" s="224"/>
    </row>
    <row r="149" spans="26:65">
      <c r="Z149" s="121"/>
      <c r="AA149" s="121"/>
      <c r="AB149" s="121"/>
      <c r="AC149" s="121"/>
      <c r="AD149" s="121"/>
      <c r="BJ149" s="224"/>
      <c r="BK149" s="224"/>
      <c r="BL149" s="224"/>
      <c r="BM149" s="224"/>
    </row>
    <row r="150" spans="26:65">
      <c r="Z150" s="121"/>
      <c r="AA150" s="121"/>
      <c r="AB150" s="121"/>
      <c r="AC150" s="121"/>
      <c r="AD150" s="121"/>
      <c r="BJ150" s="224"/>
      <c r="BK150" s="224"/>
      <c r="BL150" s="224"/>
      <c r="BM150" s="224"/>
    </row>
    <row r="151" spans="26:65">
      <c r="Z151" s="121"/>
      <c r="AA151" s="121"/>
      <c r="AB151" s="121"/>
      <c r="AC151" s="121"/>
      <c r="AD151" s="121"/>
      <c r="BJ151" s="224"/>
      <c r="BK151" s="224"/>
      <c r="BL151" s="224"/>
      <c r="BM151" s="224"/>
    </row>
    <row r="152" spans="26:65">
      <c r="Z152" s="121"/>
      <c r="AA152" s="121"/>
      <c r="AB152" s="121"/>
      <c r="AC152" s="121"/>
      <c r="AD152" s="121"/>
      <c r="BJ152" s="224"/>
      <c r="BK152" s="224"/>
      <c r="BL152" s="224"/>
      <c r="BM152" s="224"/>
    </row>
    <row r="153" spans="26:65">
      <c r="Z153" s="121"/>
      <c r="AA153" s="121"/>
      <c r="AB153" s="121"/>
      <c r="AC153" s="121"/>
      <c r="AD153" s="121"/>
      <c r="BJ153" s="224"/>
      <c r="BK153" s="224"/>
      <c r="BL153" s="224"/>
      <c r="BM153" s="224"/>
    </row>
    <row r="154" spans="26:65">
      <c r="Z154" s="121"/>
      <c r="AA154" s="121"/>
      <c r="AB154" s="121"/>
      <c r="AC154" s="121"/>
      <c r="AD154" s="121"/>
      <c r="BJ154" s="224"/>
      <c r="BK154" s="224"/>
      <c r="BL154" s="224"/>
      <c r="BM154" s="224"/>
    </row>
    <row r="155" spans="26:65">
      <c r="Z155" s="121"/>
      <c r="AA155" s="121"/>
      <c r="AB155" s="121"/>
      <c r="AC155" s="121"/>
      <c r="AD155" s="121"/>
      <c r="BJ155" s="224"/>
      <c r="BK155" s="224"/>
      <c r="BL155" s="224"/>
      <c r="BM155" s="224"/>
    </row>
    <row r="156" spans="26:65">
      <c r="Z156" s="121"/>
      <c r="AA156" s="121"/>
      <c r="AB156" s="121"/>
      <c r="AC156" s="121"/>
      <c r="AD156" s="121"/>
      <c r="BJ156" s="224"/>
      <c r="BK156" s="224"/>
      <c r="BL156" s="224"/>
      <c r="BM156" s="224"/>
    </row>
    <row r="157" spans="26:65">
      <c r="Z157" s="121"/>
      <c r="AA157" s="121"/>
      <c r="AB157" s="121"/>
      <c r="AC157" s="121"/>
      <c r="AD157" s="121"/>
      <c r="BJ157" s="224"/>
      <c r="BK157" s="224"/>
      <c r="BL157" s="224"/>
      <c r="BM157" s="224"/>
    </row>
    <row r="158" spans="26:65">
      <c r="Z158" s="121"/>
      <c r="AA158" s="121"/>
      <c r="AB158" s="121"/>
      <c r="AC158" s="121"/>
      <c r="AD158" s="121"/>
      <c r="BJ158" s="224"/>
      <c r="BK158" s="224"/>
      <c r="BL158" s="224"/>
      <c r="BM158" s="224"/>
    </row>
    <row r="159" spans="26:65">
      <c r="Z159" s="121"/>
      <c r="AA159" s="121"/>
      <c r="AB159" s="121"/>
      <c r="AC159" s="121"/>
      <c r="AD159" s="121"/>
      <c r="BJ159" s="224"/>
      <c r="BK159" s="224"/>
      <c r="BL159" s="224"/>
      <c r="BM159" s="224"/>
    </row>
    <row r="160" spans="26:65">
      <c r="Z160" s="121"/>
      <c r="AA160" s="121"/>
      <c r="AB160" s="121"/>
      <c r="AC160" s="121"/>
      <c r="AD160" s="121"/>
      <c r="BJ160" s="224"/>
      <c r="BK160" s="224"/>
      <c r="BL160" s="224"/>
      <c r="BM160" s="224"/>
    </row>
    <row r="161" spans="26:65">
      <c r="Z161" s="121"/>
      <c r="AA161" s="121"/>
      <c r="AB161" s="121"/>
      <c r="AC161" s="121"/>
      <c r="AD161" s="121"/>
      <c r="BJ161" s="224"/>
      <c r="BK161" s="224"/>
      <c r="BL161" s="224"/>
      <c r="BM161" s="224"/>
    </row>
    <row r="162" spans="26:65">
      <c r="Z162" s="121"/>
      <c r="AA162" s="121"/>
      <c r="AB162" s="121"/>
      <c r="AC162" s="121"/>
      <c r="AD162" s="121"/>
      <c r="BJ162" s="224"/>
      <c r="BK162" s="224"/>
      <c r="BL162" s="224"/>
      <c r="BM162" s="224"/>
    </row>
    <row r="163" spans="26:65">
      <c r="Z163" s="121"/>
      <c r="AA163" s="121"/>
      <c r="AB163" s="121"/>
      <c r="AC163" s="121"/>
      <c r="AD163" s="121"/>
      <c r="BJ163" s="224"/>
      <c r="BK163" s="224"/>
      <c r="BL163" s="224"/>
      <c r="BM163" s="224"/>
    </row>
    <row r="164" spans="26:65">
      <c r="Z164" s="121"/>
      <c r="AA164" s="121"/>
      <c r="AB164" s="121"/>
      <c r="AC164" s="121"/>
      <c r="AD164" s="121"/>
      <c r="BJ164" s="224"/>
      <c r="BK164" s="224"/>
      <c r="BL164" s="224"/>
      <c r="BM164" s="224"/>
    </row>
    <row r="165" spans="26:65">
      <c r="Z165" s="121"/>
      <c r="AA165" s="121"/>
      <c r="AB165" s="121"/>
      <c r="AC165" s="121"/>
      <c r="AD165" s="121"/>
      <c r="BJ165" s="224"/>
      <c r="BK165" s="224"/>
      <c r="BL165" s="224"/>
      <c r="BM165" s="224"/>
    </row>
    <row r="166" spans="26:65">
      <c r="Z166" s="121"/>
      <c r="AA166" s="121"/>
      <c r="AB166" s="121"/>
      <c r="AC166" s="121"/>
      <c r="AD166" s="121"/>
      <c r="BJ166" s="224"/>
      <c r="BK166" s="224"/>
      <c r="BL166" s="224"/>
      <c r="BM166" s="224"/>
    </row>
    <row r="167" spans="26:65">
      <c r="Z167" s="121"/>
      <c r="AA167" s="121"/>
      <c r="AB167" s="121"/>
      <c r="AC167" s="121"/>
      <c r="AD167" s="121"/>
      <c r="BJ167" s="224"/>
      <c r="BK167" s="224"/>
      <c r="BL167" s="224"/>
      <c r="BM167" s="224"/>
    </row>
    <row r="168" spans="26:65">
      <c r="Z168" s="121"/>
      <c r="AA168" s="121"/>
      <c r="AB168" s="121"/>
      <c r="AC168" s="121"/>
      <c r="AD168" s="121"/>
      <c r="BJ168" s="224"/>
      <c r="BK168" s="224"/>
      <c r="BL168" s="224"/>
      <c r="BM168" s="224"/>
    </row>
    <row r="169" spans="26:65">
      <c r="Z169" s="121"/>
      <c r="AA169" s="121"/>
      <c r="AB169" s="121"/>
      <c r="AC169" s="121"/>
      <c r="AD169" s="121"/>
      <c r="BJ169" s="224"/>
      <c r="BK169" s="224"/>
      <c r="BL169" s="224"/>
      <c r="BM169" s="224"/>
    </row>
    <row r="170" spans="26:65">
      <c r="Z170" s="121"/>
      <c r="AA170" s="121"/>
      <c r="AB170" s="121"/>
      <c r="AC170" s="121"/>
      <c r="AD170" s="121"/>
      <c r="BJ170" s="224"/>
      <c r="BK170" s="224"/>
      <c r="BL170" s="224"/>
      <c r="BM170" s="224"/>
    </row>
    <row r="171" spans="26:65">
      <c r="Z171" s="121"/>
      <c r="AA171" s="121"/>
      <c r="AB171" s="121"/>
      <c r="AC171" s="121"/>
      <c r="AD171" s="121"/>
      <c r="BJ171" s="224"/>
      <c r="BK171" s="224"/>
      <c r="BL171" s="224"/>
      <c r="BM171" s="224"/>
    </row>
    <row r="172" spans="26:65">
      <c r="Z172" s="121"/>
      <c r="AA172" s="121"/>
      <c r="AB172" s="121"/>
      <c r="AC172" s="121"/>
      <c r="AD172" s="121"/>
      <c r="BJ172" s="224"/>
      <c r="BK172" s="224"/>
      <c r="BL172" s="224"/>
      <c r="BM172" s="224"/>
    </row>
    <row r="173" spans="26:65">
      <c r="Z173" s="121"/>
      <c r="AA173" s="121"/>
      <c r="AB173" s="121"/>
      <c r="AC173" s="121"/>
      <c r="AD173" s="121"/>
      <c r="BJ173" s="224"/>
      <c r="BK173" s="224"/>
      <c r="BL173" s="224"/>
      <c r="BM173" s="224"/>
    </row>
    <row r="174" spans="26:65">
      <c r="Z174" s="121"/>
      <c r="AA174" s="121"/>
      <c r="AB174" s="121"/>
      <c r="AC174" s="121"/>
      <c r="AD174" s="121"/>
      <c r="BJ174" s="224"/>
      <c r="BK174" s="224"/>
      <c r="BL174" s="224"/>
      <c r="BM174" s="224"/>
    </row>
    <row r="175" spans="26:65">
      <c r="Z175" s="121"/>
      <c r="AA175" s="121"/>
      <c r="AB175" s="121"/>
      <c r="AC175" s="121"/>
      <c r="AD175" s="121"/>
      <c r="BJ175" s="224"/>
      <c r="BK175" s="224"/>
      <c r="BL175" s="224"/>
      <c r="BM175" s="224"/>
    </row>
    <row r="176" spans="26:65">
      <c r="Z176" s="121"/>
      <c r="AA176" s="121"/>
      <c r="AB176" s="121"/>
      <c r="AC176" s="121"/>
      <c r="AD176" s="121"/>
      <c r="BJ176" s="224"/>
      <c r="BK176" s="224"/>
      <c r="BL176" s="224"/>
      <c r="BM176" s="224"/>
    </row>
    <row r="177" spans="26:65">
      <c r="Z177" s="121"/>
      <c r="AA177" s="121"/>
      <c r="AB177" s="121"/>
      <c r="AC177" s="121"/>
      <c r="AD177" s="121"/>
      <c r="BJ177" s="224"/>
      <c r="BK177" s="224"/>
      <c r="BL177" s="224"/>
      <c r="BM177" s="224"/>
    </row>
    <row r="178" spans="26:65">
      <c r="Z178" s="121"/>
      <c r="AA178" s="121"/>
      <c r="AB178" s="121"/>
      <c r="AC178" s="121"/>
      <c r="AD178" s="121"/>
      <c r="BJ178" s="224"/>
      <c r="BK178" s="224"/>
      <c r="BL178" s="224"/>
      <c r="BM178" s="224"/>
    </row>
    <row r="179" spans="26:65">
      <c r="Z179" s="121"/>
      <c r="AA179" s="121"/>
      <c r="AB179" s="121"/>
      <c r="AC179" s="121"/>
      <c r="AD179" s="121"/>
      <c r="BJ179" s="224"/>
      <c r="BK179" s="224"/>
      <c r="BL179" s="224"/>
      <c r="BM179" s="224"/>
    </row>
    <row r="180" spans="26:65">
      <c r="Z180" s="121"/>
      <c r="AA180" s="121"/>
      <c r="AB180" s="121"/>
      <c r="AC180" s="121"/>
      <c r="AD180" s="121"/>
      <c r="BJ180" s="224"/>
      <c r="BK180" s="224"/>
      <c r="BL180" s="224"/>
      <c r="BM180" s="224"/>
    </row>
    <row r="181" spans="26:65">
      <c r="Z181" s="121"/>
      <c r="AA181" s="121"/>
      <c r="AB181" s="121"/>
      <c r="AC181" s="121"/>
      <c r="AD181" s="121"/>
      <c r="BJ181" s="224"/>
      <c r="BK181" s="224"/>
      <c r="BL181" s="224"/>
      <c r="BM181" s="224"/>
    </row>
    <row r="182" spans="26:65">
      <c r="Z182" s="121"/>
      <c r="AA182" s="121"/>
      <c r="AB182" s="121"/>
      <c r="AC182" s="121"/>
      <c r="AD182" s="121"/>
      <c r="BJ182" s="224"/>
      <c r="BK182" s="224"/>
      <c r="BL182" s="224"/>
      <c r="BM182" s="224"/>
    </row>
    <row r="183" spans="26:65">
      <c r="Z183" s="121"/>
      <c r="AA183" s="121"/>
      <c r="AB183" s="121"/>
      <c r="AC183" s="121"/>
      <c r="AD183" s="121"/>
      <c r="BJ183" s="224"/>
      <c r="BK183" s="224"/>
      <c r="BL183" s="224"/>
      <c r="BM183" s="224"/>
    </row>
    <row r="184" spans="26:65">
      <c r="Z184" s="121"/>
      <c r="AA184" s="121"/>
      <c r="AB184" s="121"/>
      <c r="AC184" s="121"/>
      <c r="AD184" s="121"/>
      <c r="BJ184" s="224"/>
      <c r="BK184" s="224"/>
      <c r="BL184" s="224"/>
      <c r="BM184" s="224"/>
    </row>
    <row r="185" spans="26:65">
      <c r="Z185" s="121"/>
      <c r="AA185" s="121"/>
      <c r="AB185" s="121"/>
      <c r="AC185" s="121"/>
      <c r="AD185" s="121"/>
      <c r="BJ185" s="224"/>
      <c r="BK185" s="224"/>
      <c r="BL185" s="224"/>
      <c r="BM185" s="224"/>
    </row>
    <row r="186" spans="26:65">
      <c r="Z186" s="121"/>
      <c r="AA186" s="121"/>
      <c r="AB186" s="121"/>
      <c r="AC186" s="121"/>
      <c r="AD186" s="121"/>
      <c r="BJ186" s="224"/>
      <c r="BK186" s="224"/>
      <c r="BL186" s="224"/>
      <c r="BM186" s="224"/>
    </row>
    <row r="187" spans="26:65">
      <c r="Z187" s="121"/>
      <c r="AA187" s="121"/>
      <c r="AB187" s="121"/>
      <c r="AC187" s="121"/>
      <c r="AD187" s="121"/>
      <c r="BJ187" s="224"/>
      <c r="BK187" s="224"/>
      <c r="BL187" s="224"/>
      <c r="BM187" s="224"/>
    </row>
    <row r="188" spans="26:65">
      <c r="Z188" s="121"/>
      <c r="AA188" s="121"/>
      <c r="AB188" s="121"/>
      <c r="AC188" s="121"/>
      <c r="AD188" s="121"/>
      <c r="BJ188" s="224"/>
      <c r="BK188" s="224"/>
      <c r="BL188" s="224"/>
      <c r="BM188" s="224"/>
    </row>
    <row r="189" spans="26:65">
      <c r="Z189" s="121"/>
      <c r="AA189" s="121"/>
      <c r="AB189" s="121"/>
      <c r="AC189" s="121"/>
      <c r="AD189" s="121"/>
      <c r="BJ189" s="224"/>
      <c r="BK189" s="224"/>
      <c r="BL189" s="224"/>
      <c r="BM189" s="224"/>
    </row>
    <row r="190" spans="26:65">
      <c r="Z190" s="121"/>
      <c r="AA190" s="121"/>
      <c r="AB190" s="121"/>
      <c r="AC190" s="121"/>
      <c r="AD190" s="121"/>
      <c r="BJ190" s="224"/>
      <c r="BK190" s="224"/>
      <c r="BL190" s="224"/>
      <c r="BM190" s="224"/>
    </row>
    <row r="191" spans="26:65">
      <c r="Z191" s="121"/>
      <c r="AA191" s="121"/>
      <c r="AB191" s="121"/>
      <c r="AC191" s="121"/>
      <c r="AD191" s="121"/>
      <c r="BJ191" s="224"/>
      <c r="BK191" s="224"/>
      <c r="BL191" s="224"/>
      <c r="BM191" s="224"/>
    </row>
    <row r="192" spans="26:65">
      <c r="Z192" s="121"/>
      <c r="AA192" s="121"/>
      <c r="AB192" s="121"/>
      <c r="AC192" s="121"/>
      <c r="AD192" s="121"/>
      <c r="BJ192" s="224"/>
      <c r="BK192" s="224"/>
      <c r="BL192" s="224"/>
      <c r="BM192" s="224"/>
    </row>
    <row r="193" spans="26:65">
      <c r="Z193" s="121"/>
      <c r="AA193" s="121"/>
      <c r="AB193" s="121"/>
      <c r="AC193" s="121"/>
      <c r="AD193" s="121"/>
      <c r="BJ193" s="224"/>
      <c r="BK193" s="224"/>
      <c r="BL193" s="224"/>
      <c r="BM193" s="224"/>
    </row>
    <row r="194" spans="26:65">
      <c r="Z194" s="121"/>
      <c r="AA194" s="121"/>
      <c r="AB194" s="121"/>
      <c r="AC194" s="121"/>
      <c r="AD194" s="121"/>
      <c r="BJ194" s="224"/>
      <c r="BK194" s="224"/>
      <c r="BL194" s="224"/>
      <c r="BM194" s="224"/>
    </row>
    <row r="195" spans="26:65">
      <c r="Z195" s="121"/>
      <c r="AA195" s="121"/>
      <c r="AB195" s="121"/>
      <c r="AC195" s="121"/>
      <c r="AD195" s="121"/>
      <c r="BJ195" s="224"/>
      <c r="BK195" s="224"/>
      <c r="BL195" s="224"/>
      <c r="BM195" s="224"/>
    </row>
    <row r="196" spans="26:65">
      <c r="Z196" s="121"/>
      <c r="AA196" s="121"/>
      <c r="AB196" s="121"/>
      <c r="AC196" s="121"/>
      <c r="AD196" s="121"/>
      <c r="BJ196" s="224"/>
      <c r="BK196" s="224"/>
      <c r="BL196" s="224"/>
      <c r="BM196" s="224"/>
    </row>
    <row r="197" spans="26:65">
      <c r="Z197" s="121"/>
      <c r="AA197" s="121"/>
      <c r="AB197" s="121"/>
      <c r="AC197" s="121"/>
      <c r="AD197" s="121"/>
      <c r="BJ197" s="224"/>
      <c r="BK197" s="224"/>
      <c r="BL197" s="224"/>
      <c r="BM197" s="224"/>
    </row>
    <row r="198" spans="26:65">
      <c r="Z198" s="121"/>
      <c r="AA198" s="121"/>
      <c r="AB198" s="121"/>
      <c r="AC198" s="121"/>
      <c r="AD198" s="121"/>
      <c r="BK198" s="224"/>
      <c r="BL198" s="224"/>
      <c r="BM198" s="224"/>
    </row>
    <row r="199" spans="26:65">
      <c r="Z199" s="121"/>
      <c r="AA199" s="121"/>
      <c r="AB199" s="121"/>
      <c r="AC199" s="121"/>
      <c r="AD199" s="121"/>
      <c r="BK199" s="224"/>
      <c r="BL199" s="224"/>
      <c r="BM199" s="224"/>
    </row>
    <row r="200" spans="26:65">
      <c r="Z200" s="121"/>
      <c r="AA200" s="121"/>
      <c r="AB200" s="121"/>
      <c r="AC200" s="121"/>
      <c r="AD200" s="121"/>
      <c r="BK200" s="224"/>
      <c r="BL200" s="224"/>
      <c r="BM200" s="224"/>
    </row>
    <row r="201" spans="26:65">
      <c r="Z201" s="121"/>
      <c r="AA201" s="121"/>
      <c r="AB201" s="121"/>
      <c r="AC201" s="121"/>
      <c r="AD201" s="121"/>
      <c r="BK201" s="224"/>
      <c r="BL201" s="224"/>
      <c r="BM201" s="224"/>
    </row>
    <row r="202" spans="26:65">
      <c r="Z202" s="121"/>
      <c r="AA202" s="121"/>
      <c r="AB202" s="121"/>
      <c r="AC202" s="121"/>
      <c r="AD202" s="121"/>
      <c r="BK202" s="224"/>
      <c r="BL202" s="224"/>
      <c r="BM202" s="224"/>
    </row>
    <row r="203" spans="26:65">
      <c r="Z203" s="121"/>
      <c r="AA203" s="121"/>
      <c r="AB203" s="121"/>
      <c r="AC203" s="121"/>
      <c r="AD203" s="121"/>
      <c r="BK203" s="224"/>
      <c r="BL203" s="224"/>
      <c r="BM203" s="224"/>
    </row>
    <row r="204" spans="26:65">
      <c r="Z204" s="121"/>
      <c r="AA204" s="121"/>
      <c r="AB204" s="121"/>
      <c r="AC204" s="121"/>
      <c r="AD204" s="121"/>
      <c r="BK204" s="224"/>
      <c r="BL204" s="224"/>
      <c r="BM204" s="224"/>
    </row>
    <row r="205" spans="26:65">
      <c r="Z205" s="121"/>
      <c r="AA205" s="121"/>
      <c r="AB205" s="121"/>
      <c r="AC205" s="121"/>
      <c r="AD205" s="121"/>
      <c r="BK205" s="224"/>
      <c r="BL205" s="224"/>
      <c r="BM205" s="224"/>
    </row>
    <row r="206" spans="26:65">
      <c r="Z206" s="121"/>
      <c r="AA206" s="121"/>
      <c r="AB206" s="121"/>
      <c r="AC206" s="121"/>
      <c r="AD206" s="121"/>
      <c r="BK206" s="224"/>
      <c r="BL206" s="224"/>
      <c r="BM206" s="224"/>
    </row>
    <row r="207" spans="26:65">
      <c r="Z207" s="121"/>
      <c r="AA207" s="121"/>
      <c r="AB207" s="121"/>
      <c r="AC207" s="121"/>
      <c r="AD207" s="121"/>
      <c r="BK207" s="224"/>
      <c r="BL207" s="224"/>
      <c r="BM207" s="224"/>
    </row>
    <row r="208" spans="26:65">
      <c r="Z208" s="121"/>
      <c r="AA208" s="121"/>
      <c r="AB208" s="121"/>
      <c r="AC208" s="121"/>
      <c r="AD208" s="121"/>
      <c r="BK208" s="224"/>
      <c r="BL208" s="224"/>
      <c r="BM208" s="224"/>
    </row>
    <row r="209" spans="26:65">
      <c r="Z209" s="121"/>
      <c r="AA209" s="121"/>
      <c r="AB209" s="121"/>
      <c r="AC209" s="121"/>
      <c r="AD209" s="121"/>
      <c r="BK209" s="224"/>
      <c r="BL209" s="224"/>
      <c r="BM209" s="224"/>
    </row>
    <row r="210" spans="26:65">
      <c r="Z210" s="121"/>
      <c r="AA210" s="121"/>
      <c r="AB210" s="121"/>
      <c r="AC210" s="121"/>
      <c r="AD210" s="121"/>
      <c r="BK210" s="224"/>
      <c r="BL210" s="224"/>
      <c r="BM210" s="224"/>
    </row>
    <row r="211" spans="26:65">
      <c r="Z211" s="121"/>
      <c r="AA211" s="121"/>
      <c r="AB211" s="121"/>
      <c r="AC211" s="121"/>
      <c r="AD211" s="121"/>
      <c r="BK211" s="224"/>
      <c r="BL211" s="224"/>
      <c r="BM211" s="224"/>
    </row>
    <row r="212" spans="26:65">
      <c r="Z212" s="121"/>
      <c r="AA212" s="121"/>
      <c r="AB212" s="121"/>
      <c r="AC212" s="121"/>
      <c r="AD212" s="121"/>
      <c r="BK212" s="224"/>
      <c r="BL212" s="224"/>
      <c r="BM212" s="224"/>
    </row>
    <row r="213" spans="26:65">
      <c r="Z213" s="121"/>
      <c r="AA213" s="121"/>
      <c r="AB213" s="121"/>
      <c r="AC213" s="121"/>
      <c r="AD213" s="121"/>
      <c r="BK213" s="224"/>
      <c r="BL213" s="224"/>
      <c r="BM213" s="224"/>
    </row>
    <row r="214" spans="26:65">
      <c r="Z214" s="121"/>
      <c r="AA214" s="121"/>
      <c r="AB214" s="121"/>
      <c r="AC214" s="121"/>
      <c r="AD214" s="121"/>
      <c r="BK214" s="224"/>
      <c r="BL214" s="224"/>
      <c r="BM214" s="224"/>
    </row>
    <row r="215" spans="26:65">
      <c r="Z215" s="121"/>
      <c r="AA215" s="121"/>
      <c r="AB215" s="121"/>
      <c r="AC215" s="121"/>
      <c r="AD215" s="121"/>
      <c r="BK215" s="224"/>
      <c r="BL215" s="224"/>
      <c r="BM215" s="224"/>
    </row>
    <row r="216" spans="26:65">
      <c r="Z216" s="121"/>
      <c r="AA216" s="121"/>
      <c r="AB216" s="121"/>
      <c r="AC216" s="121"/>
      <c r="AD216" s="121"/>
      <c r="BK216" s="224"/>
      <c r="BL216" s="224"/>
      <c r="BM216" s="224"/>
    </row>
    <row r="217" spans="26:65">
      <c r="Z217" s="121"/>
      <c r="AA217" s="121"/>
      <c r="AB217" s="121"/>
      <c r="AC217" s="121"/>
      <c r="AD217" s="121"/>
      <c r="BK217" s="224"/>
      <c r="BL217" s="224"/>
      <c r="BM217" s="224"/>
    </row>
    <row r="218" spans="26:65">
      <c r="Z218" s="121"/>
      <c r="AA218" s="121"/>
      <c r="AB218" s="121"/>
      <c r="AC218" s="121"/>
      <c r="AD218" s="121"/>
      <c r="BK218" s="224"/>
      <c r="BL218" s="224"/>
      <c r="BM218" s="224"/>
    </row>
    <row r="219" spans="26:65">
      <c r="Z219" s="121"/>
      <c r="AA219" s="121"/>
      <c r="AB219" s="121"/>
      <c r="AC219" s="121"/>
      <c r="AD219" s="121"/>
      <c r="BK219" s="224"/>
      <c r="BL219" s="224"/>
      <c r="BM219" s="224"/>
    </row>
    <row r="220" spans="26:65">
      <c r="Z220" s="121"/>
      <c r="AA220" s="121"/>
      <c r="AB220" s="121"/>
      <c r="AC220" s="121"/>
      <c r="AD220" s="121"/>
      <c r="BK220" s="224"/>
      <c r="BL220" s="224"/>
      <c r="BM220" s="224"/>
    </row>
    <row r="221" spans="26:65">
      <c r="Z221" s="121"/>
      <c r="AA221" s="121"/>
      <c r="AB221" s="121"/>
      <c r="AC221" s="121"/>
      <c r="AD221" s="121"/>
      <c r="BK221" s="224"/>
      <c r="BL221" s="224"/>
      <c r="BM221" s="224"/>
    </row>
    <row r="222" spans="26:65">
      <c r="Z222" s="121"/>
      <c r="AA222" s="121"/>
      <c r="AB222" s="121"/>
      <c r="AC222" s="121"/>
      <c r="AD222" s="121"/>
      <c r="BK222" s="224"/>
      <c r="BL222" s="224"/>
      <c r="BM222" s="224"/>
    </row>
    <row r="223" spans="26:65">
      <c r="Z223" s="121"/>
      <c r="AA223" s="121"/>
      <c r="AB223" s="121"/>
      <c r="AC223" s="121"/>
      <c r="AD223" s="121"/>
      <c r="BK223" s="224"/>
      <c r="BL223" s="224"/>
      <c r="BM223" s="224"/>
    </row>
    <row r="224" spans="26:65">
      <c r="Z224" s="121"/>
      <c r="AA224" s="121"/>
      <c r="AB224" s="121"/>
      <c r="AC224" s="121"/>
      <c r="AD224" s="121"/>
      <c r="BK224" s="224"/>
      <c r="BL224" s="224"/>
      <c r="BM224" s="224"/>
    </row>
    <row r="225" spans="26:65">
      <c r="Z225" s="121"/>
      <c r="AA225" s="121"/>
      <c r="AB225" s="121"/>
      <c r="AC225" s="121"/>
      <c r="AD225" s="121"/>
      <c r="BK225" s="224"/>
      <c r="BL225" s="224"/>
      <c r="BM225" s="224"/>
    </row>
    <row r="226" spans="26:65">
      <c r="Z226" s="121"/>
      <c r="AA226" s="121"/>
      <c r="AB226" s="121"/>
      <c r="AC226" s="121"/>
      <c r="AD226" s="121"/>
      <c r="BK226" s="224"/>
      <c r="BL226" s="224"/>
      <c r="BM226" s="224"/>
    </row>
    <row r="227" spans="26:65">
      <c r="Z227" s="121"/>
      <c r="AA227" s="121"/>
      <c r="AB227" s="121"/>
      <c r="AC227" s="121"/>
      <c r="AD227" s="121"/>
      <c r="BK227" s="224"/>
      <c r="BL227" s="224"/>
      <c r="BM227" s="224"/>
    </row>
    <row r="228" spans="26:65">
      <c r="Z228" s="121"/>
      <c r="AA228" s="121"/>
      <c r="AB228" s="121"/>
      <c r="AC228" s="121"/>
      <c r="AD228" s="121"/>
      <c r="BK228" s="224"/>
      <c r="BL228" s="224"/>
      <c r="BM228" s="224"/>
    </row>
    <row r="229" spans="26:65">
      <c r="Z229" s="121"/>
      <c r="AA229" s="121"/>
      <c r="AB229" s="121"/>
      <c r="AC229" s="121"/>
      <c r="AD229" s="121"/>
      <c r="BK229" s="224"/>
      <c r="BL229" s="224"/>
      <c r="BM229" s="224"/>
    </row>
    <row r="230" spans="26:65">
      <c r="Z230" s="121"/>
      <c r="AA230" s="121"/>
      <c r="AB230" s="121"/>
      <c r="AC230" s="121"/>
      <c r="AD230" s="121"/>
      <c r="BK230" s="224"/>
      <c r="BL230" s="224"/>
      <c r="BM230" s="224"/>
    </row>
    <row r="231" spans="26:65">
      <c r="Z231" s="121"/>
      <c r="AA231" s="121"/>
      <c r="AB231" s="121"/>
      <c r="AC231" s="121"/>
      <c r="AD231" s="121"/>
      <c r="BK231" s="224"/>
      <c r="BL231" s="224"/>
      <c r="BM231" s="224"/>
    </row>
    <row r="232" spans="26:65">
      <c r="Z232" s="121"/>
      <c r="AA232" s="121"/>
      <c r="AB232" s="121"/>
      <c r="AC232" s="121"/>
      <c r="AD232" s="121"/>
      <c r="BK232" s="224"/>
      <c r="BL232" s="224"/>
      <c r="BM232" s="224"/>
    </row>
    <row r="233" spans="26:65">
      <c r="Z233" s="121"/>
      <c r="AA233" s="121"/>
      <c r="AB233" s="121"/>
      <c r="AC233" s="121"/>
      <c r="AD233" s="121"/>
      <c r="BK233" s="224"/>
      <c r="BL233" s="224"/>
      <c r="BM233" s="224"/>
    </row>
    <row r="234" spans="26:65">
      <c r="Z234" s="121"/>
      <c r="AA234" s="121"/>
      <c r="AB234" s="121"/>
      <c r="AC234" s="121"/>
      <c r="AD234" s="121"/>
      <c r="BK234" s="224"/>
      <c r="BL234" s="224"/>
      <c r="BM234" s="224"/>
    </row>
    <row r="235" spans="26:65">
      <c r="Z235" s="121"/>
      <c r="AA235" s="121"/>
      <c r="AB235" s="121"/>
      <c r="AC235" s="121"/>
      <c r="AD235" s="121"/>
      <c r="BK235" s="224"/>
      <c r="BL235" s="224"/>
      <c r="BM235" s="224"/>
    </row>
    <row r="236" spans="26:65">
      <c r="Z236" s="121"/>
      <c r="AA236" s="121"/>
      <c r="AB236" s="121"/>
      <c r="AC236" s="121"/>
      <c r="AD236" s="121"/>
      <c r="BK236" s="224"/>
      <c r="BL236" s="224"/>
      <c r="BM236" s="224"/>
    </row>
    <row r="237" spans="26:65">
      <c r="Z237" s="121"/>
      <c r="AA237" s="121"/>
      <c r="AB237" s="121"/>
      <c r="AC237" s="121"/>
      <c r="AD237" s="121"/>
      <c r="BK237" s="224"/>
      <c r="BL237" s="224"/>
      <c r="BM237" s="224"/>
    </row>
    <row r="238" spans="26:65">
      <c r="Z238" s="121"/>
      <c r="AA238" s="121"/>
      <c r="AB238" s="121"/>
      <c r="AC238" s="121"/>
      <c r="AD238" s="121"/>
      <c r="BK238" s="224"/>
      <c r="BL238" s="224"/>
      <c r="BM238" s="224"/>
    </row>
    <row r="239" spans="26:65">
      <c r="Z239" s="121"/>
      <c r="AA239" s="121"/>
      <c r="AB239" s="121"/>
      <c r="AC239" s="121"/>
      <c r="AD239" s="121"/>
      <c r="BK239" s="224"/>
      <c r="BL239" s="224"/>
      <c r="BM239" s="224"/>
    </row>
    <row r="240" spans="26:65">
      <c r="Z240" s="121"/>
      <c r="AA240" s="121"/>
      <c r="AB240" s="121"/>
      <c r="AC240" s="121"/>
      <c r="AD240" s="121"/>
      <c r="BK240" s="224"/>
      <c r="BL240" s="224"/>
      <c r="BM240" s="224"/>
    </row>
    <row r="241" spans="26:65">
      <c r="Z241" s="121"/>
      <c r="AA241" s="121"/>
      <c r="AB241" s="121"/>
      <c r="AC241" s="121"/>
      <c r="AD241" s="121"/>
      <c r="BK241" s="224"/>
      <c r="BL241" s="224"/>
      <c r="BM241" s="224"/>
    </row>
    <row r="242" spans="26:65">
      <c r="Z242" s="121"/>
      <c r="AA242" s="121"/>
      <c r="AB242" s="121"/>
      <c r="AC242" s="121"/>
      <c r="AD242" s="121"/>
      <c r="BK242" s="224"/>
      <c r="BL242" s="224"/>
      <c r="BM242" s="224"/>
    </row>
    <row r="243" spans="26:65">
      <c r="Z243" s="121"/>
      <c r="AA243" s="121"/>
      <c r="AB243" s="121"/>
      <c r="AC243" s="121"/>
      <c r="AD243" s="121"/>
      <c r="BK243" s="224"/>
      <c r="BL243" s="224"/>
      <c r="BM243" s="224"/>
    </row>
    <row r="244" spans="26:65">
      <c r="Z244" s="121"/>
      <c r="AA244" s="121"/>
      <c r="AB244" s="121"/>
      <c r="AC244" s="121"/>
      <c r="AD244" s="121"/>
      <c r="BK244" s="224"/>
      <c r="BL244" s="224"/>
      <c r="BM244" s="224"/>
    </row>
    <row r="245" spans="26:65">
      <c r="Z245" s="121"/>
      <c r="AA245" s="121"/>
      <c r="AB245" s="121"/>
      <c r="AC245" s="121"/>
      <c r="AD245" s="121"/>
      <c r="BK245" s="224"/>
      <c r="BL245" s="224"/>
      <c r="BM245" s="224"/>
    </row>
    <row r="246" spans="26:65">
      <c r="Z246" s="121"/>
      <c r="AA246" s="121"/>
      <c r="AB246" s="121"/>
      <c r="AC246" s="121"/>
      <c r="AD246" s="121"/>
      <c r="BK246" s="224"/>
      <c r="BL246" s="224"/>
      <c r="BM246" s="224"/>
    </row>
    <row r="247" spans="26:65">
      <c r="Z247" s="121"/>
      <c r="AA247" s="121"/>
      <c r="AB247" s="121"/>
      <c r="AC247" s="121"/>
      <c r="AD247" s="121"/>
      <c r="BK247" s="224"/>
      <c r="BL247" s="224"/>
      <c r="BM247" s="224"/>
    </row>
    <row r="248" spans="26:65">
      <c r="Z248" s="121"/>
      <c r="AA248" s="121"/>
      <c r="AB248" s="121"/>
      <c r="AC248" s="121"/>
      <c r="AD248" s="121"/>
      <c r="BK248" s="224"/>
      <c r="BL248" s="224"/>
      <c r="BM248" s="224"/>
    </row>
    <row r="249" spans="26:65">
      <c r="Z249" s="121"/>
      <c r="AA249" s="121"/>
      <c r="AB249" s="121"/>
      <c r="AC249" s="121"/>
      <c r="AD249" s="121"/>
      <c r="BK249" s="224"/>
      <c r="BL249" s="224"/>
      <c r="BM249" s="224"/>
    </row>
    <row r="250" spans="26:65">
      <c r="Z250" s="121"/>
      <c r="AA250" s="121"/>
      <c r="AB250" s="121"/>
      <c r="AC250" s="121"/>
      <c r="AD250" s="121"/>
      <c r="BK250" s="224"/>
      <c r="BL250" s="224"/>
      <c r="BM250" s="224"/>
    </row>
    <row r="251" spans="26:65">
      <c r="Z251" s="121"/>
      <c r="AA251" s="121"/>
      <c r="AB251" s="121"/>
      <c r="AC251" s="121"/>
      <c r="AD251" s="121"/>
      <c r="BK251" s="224"/>
      <c r="BL251" s="224"/>
      <c r="BM251" s="224"/>
    </row>
    <row r="252" spans="26:65">
      <c r="Z252" s="121"/>
      <c r="AA252" s="121"/>
      <c r="AB252" s="121"/>
      <c r="AC252" s="121"/>
      <c r="AD252" s="121"/>
      <c r="BK252" s="224"/>
      <c r="BL252" s="224"/>
      <c r="BM252" s="224"/>
    </row>
    <row r="253" spans="26:65">
      <c r="Z253" s="121"/>
      <c r="AA253" s="121"/>
      <c r="AB253" s="121"/>
      <c r="AC253" s="121"/>
      <c r="AD253" s="121"/>
      <c r="BK253" s="224"/>
      <c r="BL253" s="224"/>
      <c r="BM253" s="224"/>
    </row>
    <row r="254" spans="26:65">
      <c r="Z254" s="121"/>
      <c r="AA254" s="121"/>
      <c r="AB254" s="121"/>
      <c r="AC254" s="121"/>
      <c r="AD254" s="121"/>
      <c r="BK254" s="224"/>
      <c r="BL254" s="224"/>
      <c r="BM254" s="224"/>
    </row>
    <row r="255" spans="26:65">
      <c r="Z255" s="121"/>
      <c r="AA255" s="121"/>
      <c r="AB255" s="121"/>
      <c r="AC255" s="121"/>
      <c r="AD255" s="121"/>
      <c r="BK255" s="224"/>
      <c r="BL255" s="224"/>
      <c r="BM255" s="224"/>
    </row>
    <row r="256" spans="26:65">
      <c r="Z256" s="121"/>
      <c r="AA256" s="121"/>
      <c r="AB256" s="121"/>
      <c r="AC256" s="121"/>
      <c r="AD256" s="121"/>
      <c r="BK256" s="224"/>
      <c r="BL256" s="224"/>
      <c r="BM256" s="224"/>
    </row>
    <row r="257" spans="26:30">
      <c r="Z257" s="121"/>
      <c r="AA257" s="121"/>
      <c r="AB257" s="121"/>
      <c r="AC257" s="121"/>
      <c r="AD257" s="121"/>
    </row>
    <row r="258" spans="26:30">
      <c r="Z258" s="121"/>
      <c r="AA258" s="121"/>
      <c r="AB258" s="121"/>
      <c r="AC258" s="121"/>
      <c r="AD258" s="121"/>
    </row>
    <row r="259" spans="26:30">
      <c r="Z259" s="121"/>
      <c r="AA259" s="121"/>
      <c r="AB259" s="121"/>
      <c r="AC259" s="121"/>
      <c r="AD259" s="121"/>
    </row>
    <row r="260" spans="26:30">
      <c r="Z260" s="121"/>
      <c r="AA260" s="121"/>
      <c r="AB260" s="121"/>
      <c r="AC260" s="121"/>
      <c r="AD260" s="121"/>
    </row>
    <row r="261" spans="26:30">
      <c r="Z261" s="121"/>
      <c r="AA261" s="121"/>
      <c r="AB261" s="121"/>
      <c r="AC261" s="121"/>
      <c r="AD261" s="121"/>
    </row>
    <row r="262" spans="26:30">
      <c r="Z262" s="121"/>
      <c r="AA262" s="121"/>
      <c r="AB262" s="121"/>
      <c r="AC262" s="121"/>
      <c r="AD262" s="121"/>
    </row>
    <row r="263" spans="26:30">
      <c r="Z263" s="121"/>
      <c r="AA263" s="121"/>
      <c r="AB263" s="121"/>
      <c r="AC263" s="121"/>
      <c r="AD263" s="121"/>
    </row>
    <row r="264" spans="26:30">
      <c r="Z264" s="121"/>
      <c r="AA264" s="121"/>
      <c r="AB264" s="121"/>
      <c r="AC264" s="121"/>
      <c r="AD264" s="121"/>
    </row>
    <row r="265" spans="26:30">
      <c r="Z265" s="121"/>
      <c r="AA265" s="121"/>
      <c r="AB265" s="121"/>
      <c r="AC265" s="121"/>
      <c r="AD265" s="121"/>
    </row>
    <row r="266" spans="26:30">
      <c r="Z266" s="121"/>
      <c r="AA266" s="121"/>
      <c r="AB266" s="121"/>
      <c r="AC266" s="121"/>
      <c r="AD266" s="121"/>
    </row>
    <row r="267" spans="26:30">
      <c r="Z267" s="121"/>
      <c r="AA267" s="121"/>
      <c r="AB267" s="121"/>
      <c r="AC267" s="121"/>
      <c r="AD267" s="121"/>
    </row>
    <row r="268" spans="26:30">
      <c r="Z268" s="121"/>
      <c r="AA268" s="121"/>
      <c r="AB268" s="121"/>
      <c r="AC268" s="121"/>
      <c r="AD268" s="121"/>
    </row>
    <row r="269" spans="26:30">
      <c r="Z269" s="121"/>
      <c r="AA269" s="121"/>
      <c r="AB269" s="121"/>
      <c r="AC269" s="121"/>
      <c r="AD269" s="121"/>
    </row>
    <row r="270" spans="26:30">
      <c r="Z270" s="121"/>
      <c r="AA270" s="121"/>
      <c r="AB270" s="121"/>
      <c r="AC270" s="121"/>
      <c r="AD270" s="121"/>
    </row>
    <row r="271" spans="26:30">
      <c r="Z271" s="121"/>
      <c r="AA271" s="121"/>
      <c r="AB271" s="121"/>
      <c r="AC271" s="121"/>
      <c r="AD271" s="121"/>
    </row>
    <row r="272" spans="26:30">
      <c r="Z272" s="121"/>
      <c r="AA272" s="121"/>
      <c r="AB272" s="121"/>
      <c r="AC272" s="121"/>
      <c r="AD272" s="121"/>
    </row>
    <row r="273" spans="26:65">
      <c r="Z273" s="121"/>
      <c r="AA273" s="121"/>
      <c r="AB273" s="121"/>
      <c r="AC273" s="121"/>
      <c r="AD273" s="121"/>
    </row>
    <row r="274" spans="26:65">
      <c r="Z274" s="121"/>
      <c r="AA274" s="121"/>
      <c r="AB274" s="121"/>
      <c r="AC274" s="121"/>
      <c r="AD274" s="121"/>
    </row>
    <row r="275" spans="26:65">
      <c r="Z275" s="121"/>
      <c r="AA275" s="121"/>
      <c r="AB275" s="121"/>
      <c r="AC275" s="121"/>
      <c r="AD275" s="121"/>
    </row>
    <row r="276" spans="26:65">
      <c r="Z276" s="121"/>
      <c r="AA276" s="121"/>
      <c r="AB276" s="121"/>
      <c r="AC276" s="121"/>
      <c r="AD276" s="121"/>
    </row>
    <row r="277" spans="26:65">
      <c r="Z277" s="121"/>
      <c r="AA277" s="121"/>
      <c r="AB277" s="121"/>
      <c r="AC277" s="121"/>
      <c r="AD277" s="121"/>
    </row>
    <row r="278" spans="26:65">
      <c r="Z278" s="121"/>
      <c r="AA278" s="121"/>
      <c r="AB278" s="121"/>
      <c r="AC278" s="121"/>
      <c r="AD278" s="121"/>
      <c r="BK278" s="224"/>
      <c r="BL278" s="224"/>
      <c r="BM278" s="224"/>
    </row>
    <row r="279" spans="26:65">
      <c r="Z279" s="121"/>
      <c r="AA279" s="121"/>
      <c r="AB279" s="121"/>
      <c r="AC279" s="121"/>
      <c r="AD279" s="121"/>
      <c r="BK279" s="224"/>
      <c r="BL279" s="224"/>
      <c r="BM279" s="224"/>
    </row>
    <row r="280" spans="26:65">
      <c r="Z280" s="121"/>
      <c r="AA280" s="121"/>
      <c r="AB280" s="121"/>
      <c r="AC280" s="121"/>
      <c r="AD280" s="121"/>
      <c r="BK280" s="224"/>
      <c r="BL280" s="224"/>
      <c r="BM280" s="224"/>
    </row>
    <row r="281" spans="26:65">
      <c r="Z281" s="121"/>
      <c r="AA281" s="121"/>
      <c r="AB281" s="121"/>
      <c r="AC281" s="121"/>
      <c r="AD281" s="121"/>
      <c r="BK281" s="224"/>
      <c r="BL281" s="224"/>
      <c r="BM281" s="224"/>
    </row>
    <row r="282" spans="26:65">
      <c r="Z282" s="121"/>
      <c r="AA282" s="121"/>
      <c r="AB282" s="121"/>
      <c r="AC282" s="121"/>
      <c r="AD282" s="121"/>
      <c r="BK282" s="224"/>
      <c r="BL282" s="224"/>
      <c r="BM282" s="224"/>
    </row>
    <row r="283" spans="26:65">
      <c r="Z283" s="121"/>
      <c r="AA283" s="121"/>
      <c r="AB283" s="121"/>
      <c r="AC283" s="121"/>
      <c r="AD283" s="121"/>
      <c r="BK283" s="224"/>
      <c r="BL283" s="224"/>
      <c r="BM283" s="224"/>
    </row>
    <row r="284" spans="26:65">
      <c r="Z284" s="121"/>
      <c r="AA284" s="121"/>
      <c r="AB284" s="121"/>
      <c r="AC284" s="121"/>
      <c r="AD284" s="121"/>
      <c r="BK284" s="224"/>
      <c r="BL284" s="224"/>
      <c r="BM284" s="224"/>
    </row>
    <row r="285" spans="26:65">
      <c r="Z285" s="121"/>
      <c r="AA285" s="121"/>
      <c r="AB285" s="121"/>
      <c r="AC285" s="121"/>
      <c r="AD285" s="121"/>
      <c r="BK285" s="224"/>
      <c r="BL285" s="224"/>
      <c r="BM285" s="224"/>
    </row>
    <row r="286" spans="26:65">
      <c r="Z286" s="121"/>
      <c r="AA286" s="121"/>
      <c r="AB286" s="121"/>
      <c r="AC286" s="121"/>
      <c r="AD286" s="121"/>
      <c r="BK286" s="224"/>
      <c r="BL286" s="224"/>
      <c r="BM286" s="224"/>
    </row>
    <row r="287" spans="26:65">
      <c r="Z287" s="121"/>
      <c r="AA287" s="121"/>
      <c r="AB287" s="121"/>
      <c r="AC287" s="121"/>
      <c r="AD287" s="121"/>
      <c r="BK287" s="224"/>
      <c r="BL287" s="224"/>
      <c r="BM287" s="224"/>
    </row>
    <row r="288" spans="26:65">
      <c r="Z288" s="121"/>
      <c r="AA288" s="121"/>
      <c r="AB288" s="121"/>
      <c r="AC288" s="121"/>
      <c r="AD288" s="121"/>
      <c r="BK288" s="224"/>
      <c r="BL288" s="224"/>
      <c r="BM288" s="224"/>
    </row>
    <row r="289" spans="26:65">
      <c r="Z289" s="121"/>
      <c r="AA289" s="121"/>
      <c r="AB289" s="121"/>
      <c r="AC289" s="121"/>
      <c r="AD289" s="121"/>
      <c r="BK289" s="224"/>
      <c r="BL289" s="224"/>
      <c r="BM289" s="224"/>
    </row>
    <row r="290" spans="26:65">
      <c r="Z290" s="121"/>
      <c r="AA290" s="121"/>
      <c r="AB290" s="121"/>
      <c r="AC290" s="121"/>
      <c r="AD290" s="121"/>
      <c r="BK290" s="224"/>
      <c r="BL290" s="224"/>
      <c r="BM290" s="224"/>
    </row>
    <row r="291" spans="26:65">
      <c r="Z291" s="121"/>
      <c r="AA291" s="121"/>
      <c r="AB291" s="121"/>
      <c r="AC291" s="121"/>
      <c r="AD291" s="121"/>
      <c r="BK291" s="224"/>
      <c r="BL291" s="224"/>
      <c r="BM291" s="224"/>
    </row>
    <row r="292" spans="26:65">
      <c r="Z292" s="121"/>
      <c r="AA292" s="121"/>
      <c r="AB292" s="121"/>
      <c r="AC292" s="121"/>
      <c r="AD292" s="121"/>
      <c r="BK292" s="224"/>
      <c r="BL292" s="224"/>
      <c r="BM292" s="224"/>
    </row>
    <row r="293" spans="26:65">
      <c r="Z293" s="121"/>
      <c r="AA293" s="121"/>
      <c r="AB293" s="121"/>
      <c r="AC293" s="121"/>
      <c r="AD293" s="121"/>
      <c r="BK293" s="224"/>
      <c r="BL293" s="224"/>
      <c r="BM293" s="224"/>
    </row>
    <row r="294" spans="26:65">
      <c r="Z294" s="121"/>
      <c r="AA294" s="121"/>
      <c r="AB294" s="121"/>
      <c r="AC294" s="121"/>
      <c r="AD294" s="121"/>
      <c r="BK294" s="224"/>
      <c r="BL294" s="224"/>
      <c r="BM294" s="224"/>
    </row>
    <row r="295" spans="26:65">
      <c r="Z295" s="121"/>
      <c r="AA295" s="121"/>
      <c r="AB295" s="121"/>
      <c r="AC295" s="121"/>
      <c r="AD295" s="121"/>
      <c r="BK295" s="224"/>
      <c r="BL295" s="224"/>
      <c r="BM295" s="224"/>
    </row>
    <row r="296" spans="26:65">
      <c r="Z296" s="121"/>
      <c r="BK296" s="224"/>
      <c r="BL296" s="224"/>
      <c r="BM296" s="224"/>
    </row>
    <row r="297" spans="26:65">
      <c r="Z297" s="121"/>
      <c r="BK297" s="224"/>
      <c r="BL297" s="224"/>
      <c r="BM297" s="224"/>
    </row>
    <row r="298" spans="26:65">
      <c r="Z298" s="121"/>
    </row>
    <row r="299" spans="26:65">
      <c r="Z299" s="121"/>
    </row>
    <row r="300" spans="26:65">
      <c r="Z300" s="121"/>
    </row>
  </sheetData>
  <mergeCells count="24">
    <mergeCell ref="V3:X3"/>
    <mergeCell ref="B3:D3"/>
    <mergeCell ref="BI5:BM5"/>
    <mergeCell ref="AO5:AS5"/>
    <mergeCell ref="AO6:AS6"/>
    <mergeCell ref="BD5:BH5"/>
    <mergeCell ref="BD6:BH6"/>
    <mergeCell ref="BJ3:BL3"/>
    <mergeCell ref="AK3:AM3"/>
    <mergeCell ref="AT6:AX6"/>
    <mergeCell ref="BD8:BH8"/>
    <mergeCell ref="AO8:AS8"/>
    <mergeCell ref="AT8:AX8"/>
    <mergeCell ref="AY8:BC8"/>
    <mergeCell ref="BE3:BG3"/>
    <mergeCell ref="BD7:BH7"/>
    <mergeCell ref="AU3:AW3"/>
    <mergeCell ref="AZ3:BB3"/>
    <mergeCell ref="AO7:AS7"/>
    <mergeCell ref="AT5:AX5"/>
    <mergeCell ref="AT7:AX7"/>
    <mergeCell ref="AY5:BC5"/>
    <mergeCell ref="AY6:BC6"/>
    <mergeCell ref="AY7:BC7"/>
  </mergeCells>
  <printOptions horizontalCentered="1"/>
  <pageMargins left="1" right="0.46" top="1" bottom="0.57999999999999996" header="0.24" footer="0.31"/>
  <pageSetup scale="60" fitToHeight="0" orientation="portrait" r:id="rId1"/>
  <headerFooter alignWithMargins="0">
    <oddFooter>&amp;CREVISED AUGUST 08, 2017</oddFooter>
  </headerFooter>
  <rowBreaks count="2" manualBreakCount="2">
    <brk id="29" min="20" max="24" man="1"/>
    <brk id="50" min="60" max="6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401"/>
  <sheetViews>
    <sheetView zoomScaleNormal="100" workbookViewId="0">
      <pane xSplit="1" ySplit="2" topLeftCell="B3" activePane="bottomRight" state="frozen"/>
      <selection activeCell="BB2" sqref="BB2"/>
      <selection pane="topRight" activeCell="BB2" sqref="BB2"/>
      <selection pane="bottomLeft" activeCell="BB2" sqref="BB2"/>
      <selection pane="bottomRight" activeCell="BB2" sqref="BB2"/>
    </sheetView>
  </sheetViews>
  <sheetFormatPr defaultColWidth="19.33203125" defaultRowHeight="12.75" outlineLevelRow="1"/>
  <cols>
    <col min="1" max="1" width="5.83203125" style="3" customWidth="1"/>
    <col min="2" max="2" width="68.1640625" style="3" customWidth="1"/>
    <col min="3" max="3" width="16.83203125" style="3" customWidth="1"/>
    <col min="4" max="6" width="22.33203125" style="3" customWidth="1"/>
    <col min="7" max="7" width="6.5" style="2" bestFit="1" customWidth="1"/>
    <col min="8" max="8" width="55.83203125" style="2" bestFit="1" customWidth="1"/>
    <col min="9" max="9" width="19.33203125" style="2"/>
    <col min="10" max="10" width="13.83203125" style="2" customWidth="1"/>
    <col min="11" max="11" width="19.33203125" style="2"/>
    <col min="12" max="12" width="5.1640625" style="2" customWidth="1"/>
    <col min="13" max="13" width="72.5" style="2" bestFit="1" customWidth="1"/>
    <col min="14" max="14" width="5" style="2" customWidth="1"/>
    <col min="15" max="15" width="10.83203125" style="2" customWidth="1"/>
    <col min="16" max="16384" width="19.33203125" style="2"/>
  </cols>
  <sheetData>
    <row r="1" spans="1:17" s="78" customFormat="1">
      <c r="A1" s="25"/>
      <c r="B1" s="3"/>
      <c r="C1" s="3"/>
      <c r="E1" s="546"/>
      <c r="F1" s="546" t="s">
        <v>871</v>
      </c>
      <c r="G1" s="25"/>
      <c r="H1" s="3"/>
      <c r="I1" s="3"/>
      <c r="J1" s="3"/>
      <c r="K1" s="12" t="str">
        <f>+F1</f>
        <v>Exh. MCC-3r</v>
      </c>
      <c r="L1" s="25"/>
      <c r="M1" s="3"/>
      <c r="N1" s="3"/>
      <c r="O1" s="3"/>
      <c r="P1" s="12" t="str">
        <f>+F1</f>
        <v>Exh. MCC-3r</v>
      </c>
    </row>
    <row r="2" spans="1:17" s="78" customFormat="1">
      <c r="A2" s="25"/>
      <c r="B2" s="3"/>
      <c r="E2" s="546"/>
      <c r="F2" s="546" t="str">
        <f>'MCC-2r page 1-6'!BB2</f>
        <v>Dockets UE-170033/UG-170034</v>
      </c>
      <c r="G2" s="25"/>
      <c r="H2" s="3"/>
      <c r="I2" s="3"/>
      <c r="K2" s="12" t="str">
        <f>F2</f>
        <v>Dockets UE-170033/UG-170034</v>
      </c>
      <c r="L2" s="25"/>
      <c r="M2" s="3"/>
      <c r="N2" s="3"/>
      <c r="P2" s="12" t="str">
        <f>F2</f>
        <v>Dockets UE-170033/UG-170034</v>
      </c>
    </row>
    <row r="3" spans="1:17" s="78" customFormat="1">
      <c r="A3" s="25"/>
      <c r="B3" s="3"/>
      <c r="C3" s="3"/>
      <c r="E3" s="546"/>
      <c r="F3" s="546" t="s">
        <v>740</v>
      </c>
      <c r="H3" s="3"/>
      <c r="I3" s="3"/>
      <c r="J3" s="3"/>
      <c r="K3" s="546" t="s">
        <v>739</v>
      </c>
      <c r="L3" s="25"/>
      <c r="M3" s="25"/>
      <c r="N3" s="25"/>
      <c r="O3" s="25"/>
      <c r="P3" s="546" t="s">
        <v>738</v>
      </c>
    </row>
    <row r="4" spans="1:17" s="574" customFormat="1" ht="15.75">
      <c r="A4" s="577"/>
      <c r="B4" s="576"/>
      <c r="C4" s="576"/>
      <c r="D4" s="575"/>
      <c r="E4" s="575"/>
      <c r="F4" s="575"/>
      <c r="G4" s="4"/>
      <c r="H4" s="4"/>
      <c r="I4" s="4"/>
      <c r="J4" s="4"/>
      <c r="K4" s="575"/>
      <c r="L4" s="116"/>
      <c r="M4" s="116"/>
      <c r="N4" s="116"/>
      <c r="O4" s="116"/>
      <c r="P4" s="575"/>
    </row>
    <row r="5" spans="1:17" s="78" customFormat="1" ht="24" customHeight="1">
      <c r="A5" s="923" t="s">
        <v>148</v>
      </c>
      <c r="B5" s="923"/>
      <c r="C5" s="923"/>
      <c r="D5" s="923"/>
      <c r="E5" s="923"/>
      <c r="F5" s="923"/>
      <c r="G5" s="393" t="s">
        <v>148</v>
      </c>
      <c r="H5" s="437"/>
      <c r="I5" s="114"/>
      <c r="J5" s="114"/>
      <c r="K5" s="114"/>
      <c r="L5" s="393" t="s">
        <v>148</v>
      </c>
      <c r="M5" s="114"/>
      <c r="N5" s="114"/>
      <c r="O5" s="114"/>
      <c r="P5" s="114"/>
    </row>
    <row r="6" spans="1:17" s="78" customFormat="1" ht="15.75" customHeight="1">
      <c r="A6" s="393" t="s">
        <v>145</v>
      </c>
      <c r="B6" s="437"/>
      <c r="C6" s="437"/>
      <c r="D6" s="437"/>
      <c r="E6" s="437"/>
      <c r="F6" s="437"/>
      <c r="G6" s="114" t="s">
        <v>737</v>
      </c>
      <c r="H6" s="437"/>
      <c r="I6" s="114"/>
      <c r="J6" s="114"/>
      <c r="K6" s="114"/>
      <c r="L6" s="114" t="s">
        <v>690</v>
      </c>
      <c r="M6" s="114"/>
      <c r="N6" s="114"/>
      <c r="O6" s="114"/>
      <c r="P6" s="114"/>
    </row>
    <row r="7" spans="1:17">
      <c r="A7" s="114" t="str">
        <f>keep_TESTYEAR</f>
        <v>FOR THE TWELVE MONTHS ENDED SEPTEMBER 30, 2016</v>
      </c>
      <c r="B7" s="437"/>
      <c r="C7" s="437"/>
      <c r="D7" s="437"/>
      <c r="E7" s="437"/>
      <c r="F7" s="437"/>
      <c r="G7" s="114" t="str">
        <f>keep_TESTYEAR</f>
        <v>FOR THE TWELVE MONTHS ENDED SEPTEMBER 30, 2016</v>
      </c>
      <c r="H7" s="437"/>
      <c r="I7" s="114"/>
      <c r="J7" s="114"/>
      <c r="K7" s="114"/>
      <c r="L7" s="114" t="str">
        <f>keep_TESTYEAR</f>
        <v>FOR THE TWELVE MONTHS ENDED SEPTEMBER 30, 2016</v>
      </c>
      <c r="M7" s="114"/>
      <c r="N7" s="114"/>
      <c r="O7" s="114"/>
      <c r="P7" s="114"/>
    </row>
    <row r="8" spans="1:17">
      <c r="A8" s="393" t="s">
        <v>658</v>
      </c>
      <c r="B8" s="573"/>
      <c r="C8" s="573"/>
      <c r="D8" s="437"/>
      <c r="E8" s="437"/>
      <c r="F8" s="437"/>
      <c r="G8" s="393" t="s">
        <v>658</v>
      </c>
      <c r="H8" s="437"/>
      <c r="I8" s="114"/>
      <c r="J8" s="114"/>
      <c r="K8" s="114"/>
      <c r="L8" s="393" t="s">
        <v>658</v>
      </c>
      <c r="M8" s="114"/>
      <c r="N8" s="114"/>
      <c r="O8" s="114"/>
      <c r="P8" s="114"/>
    </row>
    <row r="9" spans="1:17">
      <c r="D9" s="97" t="s">
        <v>736</v>
      </c>
      <c r="E9" s="97" t="s">
        <v>101</v>
      </c>
      <c r="F9" s="97" t="s">
        <v>100</v>
      </c>
      <c r="G9" s="89"/>
      <c r="H9" s="3"/>
      <c r="I9" s="3"/>
      <c r="J9" s="26"/>
      <c r="K9" s="26"/>
      <c r="L9" s="25"/>
      <c r="M9" s="25"/>
      <c r="N9" s="25"/>
      <c r="O9" s="25"/>
      <c r="P9" s="25"/>
    </row>
    <row r="10" spans="1:17" ht="28.5">
      <c r="A10" s="26" t="s">
        <v>99</v>
      </c>
      <c r="D10" s="97" t="s">
        <v>59</v>
      </c>
      <c r="E10" s="97" t="s">
        <v>735</v>
      </c>
      <c r="F10" s="97" t="s">
        <v>59</v>
      </c>
      <c r="G10" s="26" t="s">
        <v>99</v>
      </c>
      <c r="H10" s="3"/>
      <c r="I10" s="26" t="s">
        <v>402</v>
      </c>
      <c r="J10" s="26" t="s">
        <v>734</v>
      </c>
      <c r="K10" s="26" t="s">
        <v>733</v>
      </c>
      <c r="L10" s="26" t="s">
        <v>99</v>
      </c>
      <c r="M10" s="25"/>
      <c r="N10" s="25"/>
      <c r="O10" s="25"/>
      <c r="P10" s="25"/>
    </row>
    <row r="11" spans="1:17">
      <c r="A11" s="368" t="s">
        <v>58</v>
      </c>
      <c r="B11" s="371" t="s">
        <v>391</v>
      </c>
      <c r="C11" s="371"/>
      <c r="D11" s="538" t="s">
        <v>732</v>
      </c>
      <c r="E11" s="538" t="s">
        <v>52</v>
      </c>
      <c r="F11" s="538" t="s">
        <v>731</v>
      </c>
      <c r="G11" s="368" t="s">
        <v>58</v>
      </c>
      <c r="H11" s="371" t="s">
        <v>391</v>
      </c>
      <c r="I11" s="368" t="s">
        <v>730</v>
      </c>
      <c r="J11" s="368" t="s">
        <v>729</v>
      </c>
      <c r="K11" s="368" t="s">
        <v>728</v>
      </c>
      <c r="L11" s="368" t="s">
        <v>58</v>
      </c>
      <c r="M11" s="373" t="s">
        <v>391</v>
      </c>
      <c r="N11" s="369"/>
      <c r="O11" s="369"/>
      <c r="P11" s="372" t="s">
        <v>61</v>
      </c>
    </row>
    <row r="12" spans="1:17">
      <c r="G12" s="88"/>
      <c r="H12" s="88"/>
      <c r="I12" s="88"/>
      <c r="J12" s="88"/>
      <c r="K12" s="88"/>
      <c r="L12" s="3"/>
      <c r="M12" s="3"/>
      <c r="N12" s="3"/>
      <c r="O12" s="3"/>
      <c r="P12" s="352"/>
    </row>
    <row r="13" spans="1:17" ht="15" customHeight="1">
      <c r="A13" s="9">
        <v>1</v>
      </c>
      <c r="B13" s="3" t="s">
        <v>384</v>
      </c>
      <c r="D13" s="884">
        <f>'MCC-2r page 1-6'!AU51</f>
        <v>5075734044.5515747</v>
      </c>
      <c r="E13" s="331"/>
      <c r="F13" s="331"/>
      <c r="G13" s="9">
        <v>1</v>
      </c>
      <c r="H13" s="3" t="s">
        <v>727</v>
      </c>
      <c r="I13" s="563">
        <v>0.01</v>
      </c>
      <c r="J13" s="563">
        <v>3.0599999999999999E-2</v>
      </c>
      <c r="K13" s="563">
        <f>ROUND(+I13*J13,4)</f>
        <v>2.9999999999999997E-4</v>
      </c>
      <c r="L13" s="9">
        <v>1</v>
      </c>
      <c r="M13" s="49" t="s">
        <v>216</v>
      </c>
      <c r="N13" s="3"/>
      <c r="O13" s="3"/>
      <c r="P13" s="142">
        <f>'MCC-2r page 7-30'!AV22</f>
        <v>7.1570000000000002E-3</v>
      </c>
      <c r="Q13" s="571"/>
    </row>
    <row r="14" spans="1:17" ht="15" customHeight="1">
      <c r="A14" s="9">
        <f t="shared" ref="A14:A25" si="0">A13+1</f>
        <v>2</v>
      </c>
      <c r="B14" s="49" t="s">
        <v>17</v>
      </c>
      <c r="C14" s="49"/>
      <c r="D14" s="572">
        <f>+K16</f>
        <v>7.3700000000000002E-2</v>
      </c>
      <c r="E14" s="563"/>
      <c r="F14" s="563"/>
      <c r="G14" s="9">
        <v>2</v>
      </c>
      <c r="H14" s="3" t="s">
        <v>726</v>
      </c>
      <c r="I14" s="563">
        <v>0.51</v>
      </c>
      <c r="J14" s="563">
        <v>5.7299999999999997E-2</v>
      </c>
      <c r="K14" s="563">
        <f>ROUND(+I14*J14,4)</f>
        <v>2.92E-2</v>
      </c>
      <c r="L14" s="9">
        <v>2</v>
      </c>
      <c r="M14" s="49" t="s">
        <v>208</v>
      </c>
      <c r="N14" s="3"/>
      <c r="O14" s="3"/>
      <c r="P14" s="142">
        <v>2E-3</v>
      </c>
      <c r="Q14" s="78"/>
    </row>
    <row r="15" spans="1:17" ht="15" customHeight="1">
      <c r="A15" s="9">
        <f t="shared" si="0"/>
        <v>3</v>
      </c>
      <c r="B15" s="49"/>
      <c r="C15" s="49"/>
      <c r="G15" s="9">
        <v>3</v>
      </c>
      <c r="H15" s="3" t="s">
        <v>721</v>
      </c>
      <c r="I15" s="563">
        <v>0.48</v>
      </c>
      <c r="J15" s="563">
        <v>9.1999999999999998E-2</v>
      </c>
      <c r="K15" s="563">
        <f>ROUND(+I15*J15,4)</f>
        <v>4.4200000000000003E-2</v>
      </c>
      <c r="L15" s="9">
        <v>3</v>
      </c>
      <c r="M15" s="49" t="str">
        <f>"STATE UTILITY TAX ( "&amp;O15*100&amp;"% - ( LINE 1 * "&amp;O15*100&amp;"% )  )"</f>
        <v>STATE UTILITY TAX ( 3.8734% - ( LINE 1 * 3.8734% )  )</v>
      </c>
      <c r="N15" s="571"/>
      <c r="O15" s="570">
        <v>3.8733999999999998E-2</v>
      </c>
      <c r="P15" s="569">
        <f>ROUND(O15-(O15*P13),6)</f>
        <v>3.8456999999999998E-2</v>
      </c>
      <c r="Q15" s="78"/>
    </row>
    <row r="16" spans="1:17" ht="15" customHeight="1">
      <c r="A16" s="9">
        <f t="shared" si="0"/>
        <v>4</v>
      </c>
      <c r="B16" s="3" t="s">
        <v>693</v>
      </c>
      <c r="D16" s="879">
        <f>+D13*D14</f>
        <v>374081599.08345109</v>
      </c>
      <c r="E16" s="71"/>
      <c r="F16" s="71"/>
      <c r="G16" s="9">
        <v>4</v>
      </c>
      <c r="H16" s="3" t="s">
        <v>725</v>
      </c>
      <c r="I16" s="565">
        <f>SUM(I13:I15)</f>
        <v>1</v>
      </c>
      <c r="J16" s="169"/>
      <c r="K16" s="565">
        <f>SUM(K13:K15)</f>
        <v>7.3700000000000002E-2</v>
      </c>
      <c r="L16" s="9">
        <v>4</v>
      </c>
      <c r="M16" s="49"/>
      <c r="N16" s="3"/>
      <c r="O16" s="3"/>
      <c r="P16" s="156"/>
      <c r="Q16" s="78"/>
    </row>
    <row r="17" spans="1:17" ht="15" customHeight="1">
      <c r="A17" s="9">
        <f t="shared" si="0"/>
        <v>5</v>
      </c>
      <c r="D17" s="81"/>
      <c r="E17" s="81"/>
      <c r="F17" s="81"/>
      <c r="G17" s="9">
        <v>5</v>
      </c>
      <c r="I17" s="3"/>
      <c r="J17" s="3"/>
      <c r="K17" s="4"/>
      <c r="L17" s="9">
        <v>5</v>
      </c>
      <c r="M17" s="49" t="s">
        <v>724</v>
      </c>
      <c r="N17" s="3"/>
      <c r="O17" s="3"/>
      <c r="P17" s="142">
        <f>ROUND(SUM(P13:P15),6)</f>
        <v>4.7613999999999997E-2</v>
      </c>
      <c r="Q17" s="78"/>
    </row>
    <row r="18" spans="1:17" ht="15" customHeight="1">
      <c r="A18" s="9">
        <f t="shared" si="0"/>
        <v>6</v>
      </c>
      <c r="B18" s="49" t="s">
        <v>692</v>
      </c>
      <c r="C18" s="49"/>
      <c r="D18" s="885">
        <f>'MCC-2r page 1-6'!AR49</f>
        <v>342138020.80388665</v>
      </c>
      <c r="E18" s="568"/>
      <c r="F18" s="568"/>
      <c r="G18" s="9">
        <v>6</v>
      </c>
      <c r="H18" s="3" t="s">
        <v>723</v>
      </c>
      <c r="I18" s="47">
        <f t="shared" ref="I18:J20" si="1">+I13</f>
        <v>0.01</v>
      </c>
      <c r="J18" s="47">
        <f t="shared" si="1"/>
        <v>3.0599999999999999E-2</v>
      </c>
      <c r="K18" s="563">
        <f>ROUND(K13*0.65,4)</f>
        <v>2.0000000000000001E-4</v>
      </c>
      <c r="L18" s="9">
        <v>6</v>
      </c>
      <c r="M18" s="3"/>
      <c r="N18" s="3"/>
      <c r="O18" s="3"/>
      <c r="P18" s="142"/>
      <c r="Q18" s="78"/>
    </row>
    <row r="19" spans="1:17" ht="15" customHeight="1">
      <c r="A19" s="9">
        <f t="shared" si="0"/>
        <v>7</v>
      </c>
      <c r="B19" s="49" t="s">
        <v>691</v>
      </c>
      <c r="C19" s="49"/>
      <c r="D19" s="886">
        <f>+D16-D18</f>
        <v>31943578.27956444</v>
      </c>
      <c r="E19" s="122"/>
      <c r="F19" s="122"/>
      <c r="G19" s="9">
        <v>7</v>
      </c>
      <c r="H19" s="3" t="s">
        <v>722</v>
      </c>
      <c r="I19" s="47">
        <f t="shared" si="1"/>
        <v>0.51</v>
      </c>
      <c r="J19" s="47">
        <f t="shared" si="1"/>
        <v>5.7299999999999997E-2</v>
      </c>
      <c r="K19" s="563">
        <f>ROUND(K14*0.65,4)</f>
        <v>1.9E-2</v>
      </c>
      <c r="L19" s="9">
        <v>7</v>
      </c>
      <c r="M19" s="3" t="str">
        <f>"CONVERSION FACTOR EXCLUDING FEDERAL INCOME TAX ( 1 - LINE "&amp;$L$17&amp;" )"</f>
        <v>CONVERSION FACTOR EXCLUDING FEDERAL INCOME TAX ( 1 - LINE 5 )</v>
      </c>
      <c r="N19" s="3"/>
      <c r="O19" s="3"/>
      <c r="P19" s="142">
        <f>ROUND(1-P17,6)</f>
        <v>0.95238599999999995</v>
      </c>
      <c r="Q19" s="78"/>
    </row>
    <row r="20" spans="1:17" ht="15" customHeight="1">
      <c r="A20" s="9">
        <f t="shared" si="0"/>
        <v>8</v>
      </c>
      <c r="D20" s="81"/>
      <c r="E20" s="81"/>
      <c r="F20" s="81"/>
      <c r="G20" s="9">
        <v>8</v>
      </c>
      <c r="H20" s="3" t="s">
        <v>721</v>
      </c>
      <c r="I20" s="47">
        <f t="shared" si="1"/>
        <v>0.48</v>
      </c>
      <c r="J20" s="47">
        <f t="shared" si="1"/>
        <v>9.1999999999999998E-2</v>
      </c>
      <c r="K20" s="563">
        <f>ROUND(I20*J20,4)</f>
        <v>4.4200000000000003E-2</v>
      </c>
      <c r="L20" s="9">
        <v>8</v>
      </c>
      <c r="M20" s="49" t="str">
        <f>"FEDERAL INCOME TAX ( LINE "&amp;L19&amp;"  * "&amp;k_FITrate*100&amp;"% )"</f>
        <v>FEDERAL INCOME TAX ( LINE 7  * 35% )</v>
      </c>
      <c r="N20" s="3"/>
      <c r="O20" s="154">
        <v>0.35</v>
      </c>
      <c r="P20" s="142">
        <f>ROUND((P19)*k_FITrate,6)</f>
        <v>0.33333499999999999</v>
      </c>
      <c r="Q20" s="78"/>
    </row>
    <row r="21" spans="1:17" ht="15" customHeight="1" thickBot="1">
      <c r="A21" s="9">
        <f t="shared" si="0"/>
        <v>9</v>
      </c>
      <c r="B21" s="3" t="s">
        <v>690</v>
      </c>
      <c r="D21" s="567">
        <f>+P21</f>
        <v>0.61905100000000002</v>
      </c>
      <c r="E21" s="566"/>
      <c r="F21" s="566"/>
      <c r="G21" s="9">
        <v>9</v>
      </c>
      <c r="H21" s="3" t="s">
        <v>720</v>
      </c>
      <c r="I21" s="565">
        <f>SUM(I18:I20)</f>
        <v>1</v>
      </c>
      <c r="J21" s="169"/>
      <c r="K21" s="565">
        <f>SUM(K18:K20)</f>
        <v>6.3399999999999998E-2</v>
      </c>
      <c r="L21" s="9">
        <v>9</v>
      </c>
      <c r="M21" s="49" t="str">
        <f>"CONVERSION FACTOR INCL FEDERAL INCOME TAX ( LINE "&amp;L19&amp;" - LINE "&amp;L20&amp;" ) "</f>
        <v xml:space="preserve">CONVERSION FACTOR INCL FEDERAL INCOME TAX ( LINE 7 - LINE 8 ) </v>
      </c>
      <c r="N21" s="3"/>
      <c r="O21" s="3"/>
      <c r="P21" s="564">
        <f>P19-P20</f>
        <v>0.61905100000000002</v>
      </c>
      <c r="Q21" s="78"/>
    </row>
    <row r="22" spans="1:17" ht="15" customHeight="1" thickTop="1">
      <c r="A22" s="9">
        <f t="shared" si="0"/>
        <v>10</v>
      </c>
      <c r="B22" s="3" t="s">
        <v>688</v>
      </c>
      <c r="D22" s="878">
        <f>ROUND(+D19/D21,0)</f>
        <v>51600883</v>
      </c>
      <c r="E22" s="122"/>
      <c r="F22" s="878">
        <f>SUM(F23:F25)</f>
        <v>-34607339</v>
      </c>
      <c r="G22" s="9"/>
      <c r="I22" s="78"/>
      <c r="J22" s="78"/>
      <c r="K22" s="78"/>
      <c r="L22" s="1"/>
    </row>
    <row r="23" spans="1:17" ht="15" customHeight="1">
      <c r="A23" s="9">
        <f t="shared" si="0"/>
        <v>11</v>
      </c>
      <c r="B23" s="49" t="s">
        <v>689</v>
      </c>
      <c r="C23" s="49"/>
      <c r="D23" s="122">
        <v>405142.80924519914</v>
      </c>
      <c r="E23" s="122">
        <f>'MCC-2r page 1-6'!AZ18</f>
        <v>-22000</v>
      </c>
      <c r="F23" s="122">
        <f>D23-E23</f>
        <v>427142.80924519914</v>
      </c>
      <c r="I23" s="3"/>
      <c r="J23" s="3"/>
      <c r="K23" s="3"/>
      <c r="O23" s="78"/>
      <c r="P23" s="78"/>
    </row>
    <row r="24" spans="1:17" ht="15" customHeight="1">
      <c r="A24" s="9">
        <f t="shared" si="0"/>
        <v>12</v>
      </c>
      <c r="B24" s="49"/>
      <c r="C24" s="49"/>
      <c r="D24" s="148"/>
      <c r="E24" s="148"/>
      <c r="F24" s="148"/>
      <c r="I24" s="1"/>
      <c r="J24" s="1"/>
      <c r="K24" s="1"/>
      <c r="L24" s="78"/>
    </row>
    <row r="25" spans="1:17" ht="15" customHeight="1" thickBot="1">
      <c r="A25" s="9">
        <f t="shared" si="0"/>
        <v>13</v>
      </c>
      <c r="B25" s="3" t="s">
        <v>719</v>
      </c>
      <c r="D25" s="887">
        <f>+D22-D24-D23</f>
        <v>51195740.190754801</v>
      </c>
      <c r="E25" s="122">
        <f>'MCC-2r page 1-6'!AZ17</f>
        <v>86230222</v>
      </c>
      <c r="F25" s="887">
        <f>D25-E25</f>
        <v>-35034481.809245199</v>
      </c>
      <c r="H25" s="552"/>
      <c r="I25" s="563"/>
      <c r="J25" s="563"/>
      <c r="K25" s="563"/>
      <c r="P25" s="78"/>
    </row>
    <row r="26" spans="1:17" ht="14.25" thickTop="1">
      <c r="A26" s="9"/>
      <c r="B26" s="2"/>
      <c r="C26" s="2"/>
      <c r="D26" s="330"/>
      <c r="E26" s="330"/>
      <c r="F26" s="330"/>
      <c r="H26" s="551"/>
      <c r="I26" s="563"/>
      <c r="J26" s="563"/>
    </row>
    <row r="27" spans="1:17">
      <c r="A27" s="9"/>
      <c r="B27" s="2"/>
      <c r="D27" s="924" t="s">
        <v>718</v>
      </c>
      <c r="E27" s="924"/>
      <c r="F27" s="924"/>
      <c r="I27" s="563"/>
      <c r="J27" s="563"/>
    </row>
    <row r="28" spans="1:17" ht="13.5">
      <c r="A28" s="9"/>
      <c r="B28" s="562"/>
      <c r="C28" s="562"/>
      <c r="D28" s="924"/>
      <c r="E28" s="924"/>
      <c r="F28" s="924"/>
      <c r="H28" s="63"/>
    </row>
    <row r="29" spans="1:17">
      <c r="A29" s="9"/>
      <c r="B29" s="561"/>
      <c r="C29" s="561"/>
      <c r="D29" s="561"/>
      <c r="E29" s="561"/>
      <c r="F29" s="561"/>
      <c r="H29" s="559"/>
    </row>
    <row r="30" spans="1:17">
      <c r="B30" s="561"/>
      <c r="C30" s="561"/>
      <c r="D30" s="561"/>
      <c r="E30" s="561"/>
      <c r="F30" s="561"/>
      <c r="H30" s="7"/>
    </row>
    <row r="31" spans="1:17" ht="12.75" hidden="1" customHeight="1" outlineLevel="1">
      <c r="B31" s="560" t="s">
        <v>717</v>
      </c>
      <c r="C31" s="553" t="s">
        <v>695</v>
      </c>
      <c r="D31" s="553" t="s">
        <v>694</v>
      </c>
      <c r="E31" s="556"/>
      <c r="F31" s="556"/>
      <c r="H31" s="63"/>
    </row>
    <row r="32" spans="1:17" ht="12.75" hidden="1" customHeight="1" outlineLevel="1">
      <c r="B32" s="2" t="s">
        <v>384</v>
      </c>
      <c r="C32" s="552">
        <f>D13-D32</f>
        <v>-22013725.864058495</v>
      </c>
      <c r="D32" s="2">
        <v>5097747770.4156332</v>
      </c>
      <c r="E32" s="2"/>
      <c r="F32" s="2"/>
      <c r="H32" s="559"/>
    </row>
    <row r="33" spans="1:8" ht="11.25" hidden="1" customHeight="1" outlineLevel="1">
      <c r="A33" s="2"/>
      <c r="B33" s="2" t="s">
        <v>17</v>
      </c>
      <c r="C33" s="551">
        <f>D14-D33</f>
        <v>-3.699999999999995E-3</v>
      </c>
      <c r="D33" s="2">
        <v>7.7399999999999997E-2</v>
      </c>
      <c r="E33" s="2"/>
      <c r="F33" s="2"/>
      <c r="H33" s="557"/>
    </row>
    <row r="34" spans="1:8" ht="11.25" hidden="1" customHeight="1" outlineLevel="1">
      <c r="A34" s="2"/>
      <c r="B34" s="2"/>
      <c r="C34" s="2"/>
      <c r="D34" s="2"/>
      <c r="E34" s="2"/>
      <c r="F34" s="2"/>
      <c r="H34" s="63"/>
    </row>
    <row r="35" spans="1:8" ht="11.25" hidden="1" customHeight="1" outlineLevel="1">
      <c r="A35" s="2"/>
      <c r="B35" s="2" t="s">
        <v>693</v>
      </c>
      <c r="C35" s="63">
        <f>D16-D35</f>
        <v>-20484078.346718907</v>
      </c>
      <c r="D35" s="2">
        <v>394565677.43017</v>
      </c>
      <c r="E35" s="2"/>
      <c r="F35" s="2"/>
      <c r="H35" s="63"/>
    </row>
    <row r="36" spans="1:8" ht="11.25" hidden="1" customHeight="1" outlineLevel="1">
      <c r="A36" s="2"/>
      <c r="B36" s="2"/>
      <c r="C36" s="63"/>
      <c r="D36" s="2"/>
      <c r="E36" s="2"/>
      <c r="F36" s="2"/>
      <c r="H36" s="63"/>
    </row>
    <row r="37" spans="1:8" ht="11.25" hidden="1" customHeight="1" outlineLevel="1">
      <c r="A37" s="2"/>
      <c r="B37" s="2" t="s">
        <v>692</v>
      </c>
      <c r="C37" s="63">
        <f>D18-D37</f>
        <v>36735537.535788298</v>
      </c>
      <c r="D37" s="2">
        <v>305402483.26809835</v>
      </c>
      <c r="E37" s="2"/>
      <c r="F37" s="2"/>
      <c r="H37" s="552"/>
    </row>
    <row r="38" spans="1:8" ht="11.25" hidden="1" customHeight="1" outlineLevel="1">
      <c r="A38" s="2"/>
      <c r="B38" s="2" t="s">
        <v>691</v>
      </c>
      <c r="C38" s="63">
        <f>D19-D38</f>
        <v>-57219616.382507205</v>
      </c>
      <c r="D38" s="2">
        <v>89163194.662071645</v>
      </c>
      <c r="E38" s="2"/>
      <c r="F38" s="2"/>
    </row>
    <row r="39" spans="1:8" ht="11.25" hidden="1" customHeight="1" outlineLevel="1">
      <c r="A39" s="2"/>
      <c r="B39" s="2"/>
      <c r="C39" s="2"/>
      <c r="D39" s="2"/>
      <c r="E39" s="2"/>
      <c r="F39" s="2"/>
    </row>
    <row r="40" spans="1:8" ht="11.25" hidden="1" customHeight="1" outlineLevel="1">
      <c r="A40" s="2"/>
      <c r="B40" s="2" t="s">
        <v>690</v>
      </c>
      <c r="C40" s="558">
        <f>D21-D40</f>
        <v>0</v>
      </c>
      <c r="D40" s="2">
        <v>0.61905100000000002</v>
      </c>
      <c r="E40" s="2"/>
      <c r="F40" s="2"/>
    </row>
    <row r="41" spans="1:8" ht="11.25" hidden="1" customHeight="1" outlineLevel="1">
      <c r="A41" s="2"/>
      <c r="B41" s="2" t="s">
        <v>688</v>
      </c>
      <c r="C41" s="63">
        <f>D22-D41</f>
        <v>-92431183</v>
      </c>
      <c r="D41" s="2">
        <v>144032066</v>
      </c>
      <c r="E41" s="2"/>
      <c r="F41" s="2"/>
    </row>
    <row r="42" spans="1:8" ht="11.25" hidden="1" customHeight="1" outlineLevel="1">
      <c r="A42" s="2"/>
      <c r="B42" s="2" t="s">
        <v>689</v>
      </c>
      <c r="C42" s="63">
        <f>D23-D42</f>
        <v>0</v>
      </c>
      <c r="D42" s="2">
        <v>405142.80924519908</v>
      </c>
      <c r="E42" s="2"/>
      <c r="F42" s="2"/>
    </row>
    <row r="43" spans="1:8" ht="11.25" hidden="1" customHeight="1" outlineLevel="1">
      <c r="A43" s="2"/>
      <c r="B43" s="2"/>
      <c r="C43" s="63"/>
      <c r="D43" s="2"/>
      <c r="E43" s="2"/>
      <c r="F43" s="2"/>
    </row>
    <row r="44" spans="1:8" ht="11.25" hidden="1" customHeight="1" outlineLevel="1">
      <c r="A44" s="2"/>
      <c r="B44" s="2" t="s">
        <v>688</v>
      </c>
      <c r="C44" s="63">
        <f>D25-D44</f>
        <v>-92431183</v>
      </c>
      <c r="D44" s="2">
        <v>143626923.1907548</v>
      </c>
      <c r="E44" s="2"/>
      <c r="F44" s="2"/>
    </row>
    <row r="45" spans="1:8" ht="11.25" hidden="1" customHeight="1" outlineLevel="1">
      <c r="A45" s="2"/>
      <c r="B45" s="2"/>
      <c r="C45" s="2"/>
      <c r="D45" s="2"/>
      <c r="E45" s="2"/>
      <c r="F45" s="2"/>
    </row>
    <row r="46" spans="1:8" ht="11.25" hidden="1" customHeight="1" outlineLevel="1">
      <c r="A46" s="2"/>
      <c r="B46" s="2"/>
      <c r="C46" s="2"/>
      <c r="D46" s="2"/>
      <c r="E46" s="2"/>
      <c r="F46" s="2"/>
    </row>
    <row r="47" spans="1:8" ht="12.75" hidden="1" customHeight="1" outlineLevel="1">
      <c r="A47" s="25">
        <v>1</v>
      </c>
      <c r="B47" s="554" t="s">
        <v>716</v>
      </c>
      <c r="C47" s="553" t="s">
        <v>695</v>
      </c>
      <c r="D47" s="553" t="s">
        <v>694</v>
      </c>
      <c r="E47" s="556"/>
      <c r="F47" s="556"/>
    </row>
    <row r="48" spans="1:8" ht="12.75" hidden="1" customHeight="1" outlineLevel="1">
      <c r="B48" s="2" t="s">
        <v>384</v>
      </c>
      <c r="C48" s="552">
        <f>D48-D32</f>
        <v>0</v>
      </c>
      <c r="D48" s="2">
        <v>5097747770.4156332</v>
      </c>
      <c r="E48" s="2"/>
      <c r="F48" s="2"/>
    </row>
    <row r="49" spans="1:8" ht="11.25" hidden="1" customHeight="1" outlineLevel="1">
      <c r="A49" s="2"/>
      <c r="B49" s="2" t="s">
        <v>17</v>
      </c>
      <c r="C49" s="551">
        <f>D49-D33</f>
        <v>0</v>
      </c>
      <c r="D49" s="2">
        <v>7.7399999999999997E-2</v>
      </c>
      <c r="E49" s="2"/>
      <c r="F49" s="2"/>
      <c r="H49" s="557"/>
    </row>
    <row r="50" spans="1:8" ht="11.25" hidden="1" customHeight="1" outlineLevel="1">
      <c r="A50" s="2"/>
      <c r="B50" s="2"/>
      <c r="C50" s="2"/>
      <c r="D50" s="2"/>
      <c r="E50" s="2"/>
      <c r="F50" s="2"/>
      <c r="H50" s="63"/>
    </row>
    <row r="51" spans="1:8" ht="11.25" hidden="1" customHeight="1" outlineLevel="1">
      <c r="A51" s="2"/>
      <c r="B51" s="2" t="s">
        <v>693</v>
      </c>
      <c r="C51" s="63">
        <f>D51-D35</f>
        <v>0</v>
      </c>
      <c r="D51" s="2">
        <v>394565677.43017</v>
      </c>
      <c r="E51" s="2"/>
      <c r="F51" s="2"/>
      <c r="H51" s="63"/>
    </row>
    <row r="52" spans="1:8" ht="11.25" hidden="1" customHeight="1" outlineLevel="1">
      <c r="A52" s="2"/>
      <c r="B52" s="2"/>
      <c r="C52" s="63"/>
      <c r="D52" s="2"/>
      <c r="E52" s="2"/>
      <c r="F52" s="2"/>
      <c r="H52" s="63"/>
    </row>
    <row r="53" spans="1:8" ht="11.25" hidden="1" customHeight="1" outlineLevel="1">
      <c r="A53" s="2"/>
      <c r="B53" s="2" t="s">
        <v>692</v>
      </c>
      <c r="C53" s="63">
        <f>D53-D37</f>
        <v>15150381.006270647</v>
      </c>
      <c r="D53" s="2">
        <v>320552864.274369</v>
      </c>
      <c r="E53" s="2"/>
      <c r="F53" s="2"/>
      <c r="H53" s="552"/>
    </row>
    <row r="54" spans="1:8" ht="11.25" hidden="1" customHeight="1" outlineLevel="1">
      <c r="A54" s="2"/>
      <c r="B54" s="2" t="s">
        <v>691</v>
      </c>
      <c r="C54" s="63">
        <f>D54-D38</f>
        <v>-15150381.006270647</v>
      </c>
      <c r="D54" s="2">
        <v>74012813.655800998</v>
      </c>
      <c r="E54" s="2"/>
      <c r="F54" s="2"/>
    </row>
    <row r="55" spans="1:8" ht="11.25" hidden="1" customHeight="1" outlineLevel="1">
      <c r="A55" s="2"/>
      <c r="B55" s="2"/>
      <c r="C55" s="63"/>
      <c r="D55" s="2"/>
      <c r="E55" s="2"/>
      <c r="F55" s="2"/>
    </row>
    <row r="56" spans="1:8" ht="11.25" hidden="1" customHeight="1" outlineLevel="1">
      <c r="A56" s="2"/>
      <c r="B56" s="2" t="s">
        <v>690</v>
      </c>
      <c r="C56" s="63">
        <f>D56-D40</f>
        <v>0</v>
      </c>
      <c r="D56" s="2">
        <v>0.61905100000000002</v>
      </c>
      <c r="E56" s="2"/>
      <c r="F56" s="2"/>
    </row>
    <row r="57" spans="1:8" ht="11.25" hidden="1" customHeight="1" outlineLevel="1">
      <c r="A57" s="2"/>
      <c r="B57" s="2" t="s">
        <v>688</v>
      </c>
      <c r="C57" s="63">
        <f>D57-D41</f>
        <v>-24473558</v>
      </c>
      <c r="D57" s="2">
        <v>119558508</v>
      </c>
      <c r="E57" s="2"/>
      <c r="F57" s="2"/>
    </row>
    <row r="58" spans="1:8" ht="11.25" hidden="1" customHeight="1" outlineLevel="1">
      <c r="A58" s="2"/>
      <c r="B58" s="2" t="s">
        <v>689</v>
      </c>
      <c r="C58" s="63">
        <f>D58-D42</f>
        <v>0</v>
      </c>
      <c r="D58" s="2">
        <v>405142.80924519914</v>
      </c>
      <c r="E58" s="2"/>
      <c r="F58" s="2"/>
    </row>
    <row r="59" spans="1:8" ht="11.25" hidden="1" customHeight="1" outlineLevel="1">
      <c r="A59" s="2"/>
      <c r="B59" s="2"/>
      <c r="C59" s="63"/>
      <c r="D59" s="2"/>
      <c r="E59" s="2"/>
      <c r="F59" s="2"/>
    </row>
    <row r="60" spans="1:8" ht="11.25" hidden="1" customHeight="1" outlineLevel="1">
      <c r="A60" s="2"/>
      <c r="B60" s="2" t="s">
        <v>688</v>
      </c>
      <c r="C60" s="63">
        <f>D60-D44</f>
        <v>-24473558</v>
      </c>
      <c r="D60" s="2">
        <v>119153365.1907548</v>
      </c>
      <c r="E60" s="2"/>
      <c r="F60" s="2"/>
    </row>
    <row r="61" spans="1:8" ht="12.75" hidden="1" customHeight="1" outlineLevel="1">
      <c r="B61" s="2"/>
      <c r="C61" s="2"/>
      <c r="D61" s="2"/>
      <c r="E61" s="2"/>
      <c r="F61" s="2"/>
    </row>
    <row r="62" spans="1:8" ht="12.75" hidden="1" customHeight="1" outlineLevel="1">
      <c r="B62" s="2"/>
      <c r="C62" s="2"/>
      <c r="D62" s="2"/>
      <c r="E62" s="2"/>
      <c r="F62" s="2"/>
    </row>
    <row r="63" spans="1:8" ht="12.75" hidden="1" customHeight="1" outlineLevel="1">
      <c r="A63" s="25">
        <v>2</v>
      </c>
      <c r="B63" s="554" t="s">
        <v>715</v>
      </c>
      <c r="C63" s="553" t="s">
        <v>695</v>
      </c>
      <c r="D63" s="553" t="s">
        <v>694</v>
      </c>
      <c r="E63" s="556"/>
      <c r="F63" s="556"/>
    </row>
    <row r="64" spans="1:8" ht="12.75" hidden="1" customHeight="1" outlineLevel="1">
      <c r="B64" s="2" t="s">
        <v>384</v>
      </c>
      <c r="C64" s="552">
        <f>D64-D48</f>
        <v>0</v>
      </c>
      <c r="D64" s="2">
        <v>5097747770.4156332</v>
      </c>
      <c r="E64" s="2"/>
      <c r="F64" s="2"/>
    </row>
    <row r="65" spans="1:6" ht="11.25" hidden="1" customHeight="1" outlineLevel="1">
      <c r="A65" s="2"/>
      <c r="B65" s="2" t="s">
        <v>17</v>
      </c>
      <c r="C65" s="551">
        <f>D65-D49</f>
        <v>0</v>
      </c>
      <c r="D65" s="2">
        <v>7.7399999999999997E-2</v>
      </c>
      <c r="E65" s="2"/>
      <c r="F65" s="2"/>
    </row>
    <row r="66" spans="1:6" ht="11.25" hidden="1" customHeight="1" outlineLevel="1">
      <c r="A66" s="2"/>
      <c r="B66" s="2"/>
      <c r="C66" s="2"/>
      <c r="D66" s="2"/>
      <c r="E66" s="2"/>
      <c r="F66" s="2"/>
    </row>
    <row r="67" spans="1:6" ht="11.25" hidden="1" customHeight="1" outlineLevel="1">
      <c r="A67" s="2"/>
      <c r="B67" s="2" t="s">
        <v>693</v>
      </c>
      <c r="C67" s="63">
        <f>D67-D51</f>
        <v>0</v>
      </c>
      <c r="D67" s="2">
        <v>394565677.43017</v>
      </c>
      <c r="E67" s="2"/>
      <c r="F67" s="2"/>
    </row>
    <row r="68" spans="1:6" ht="11.25" hidden="1" customHeight="1" outlineLevel="1">
      <c r="A68" s="2"/>
      <c r="B68" s="2"/>
      <c r="C68" s="63"/>
      <c r="D68" s="2"/>
      <c r="E68" s="2"/>
      <c r="F68" s="2"/>
    </row>
    <row r="69" spans="1:6" ht="11.25" hidden="1" customHeight="1" outlineLevel="1">
      <c r="A69" s="2"/>
      <c r="B69" s="2" t="s">
        <v>692</v>
      </c>
      <c r="C69" s="63">
        <f>D69-D53</f>
        <v>1077280.115997076</v>
      </c>
      <c r="D69" s="2">
        <v>321630144.39036608</v>
      </c>
      <c r="E69" s="2"/>
      <c r="F69" s="2"/>
    </row>
    <row r="70" spans="1:6" ht="11.25" hidden="1" customHeight="1" outlineLevel="1">
      <c r="A70" s="2"/>
      <c r="B70" s="2" t="s">
        <v>691</v>
      </c>
      <c r="C70" s="63">
        <f>D70-D54</f>
        <v>-1077280.115997076</v>
      </c>
      <c r="D70" s="2">
        <v>72935533.539803922</v>
      </c>
      <c r="E70" s="2"/>
      <c r="F70" s="2"/>
    </row>
    <row r="71" spans="1:6" ht="11.25" hidden="1" customHeight="1" outlineLevel="1">
      <c r="A71" s="2"/>
      <c r="B71" s="2"/>
      <c r="C71" s="63"/>
      <c r="D71" s="2"/>
      <c r="E71" s="2"/>
      <c r="F71" s="2"/>
    </row>
    <row r="72" spans="1:6" ht="11.25" hidden="1" customHeight="1" outlineLevel="1">
      <c r="A72" s="2"/>
      <c r="B72" s="2" t="s">
        <v>690</v>
      </c>
      <c r="C72" s="63">
        <f>D72-D56</f>
        <v>0</v>
      </c>
      <c r="D72" s="2">
        <v>0.61905100000000002</v>
      </c>
      <c r="E72" s="2"/>
      <c r="F72" s="2"/>
    </row>
    <row r="73" spans="1:6" ht="11.25" hidden="1" customHeight="1" outlineLevel="1">
      <c r="A73" s="2"/>
      <c r="B73" s="2" t="s">
        <v>688</v>
      </c>
      <c r="C73" s="63">
        <f>D73-D57</f>
        <v>-1740213</v>
      </c>
      <c r="D73" s="2">
        <v>117818295</v>
      </c>
      <c r="E73" s="2"/>
      <c r="F73" s="2"/>
    </row>
    <row r="74" spans="1:6" ht="11.25" hidden="1" customHeight="1" outlineLevel="1">
      <c r="A74" s="2"/>
      <c r="B74" s="2" t="s">
        <v>689</v>
      </c>
      <c r="C74" s="63">
        <f>D74-D58</f>
        <v>0</v>
      </c>
      <c r="D74" s="2">
        <v>405142.80924519914</v>
      </c>
      <c r="E74" s="2"/>
      <c r="F74" s="2"/>
    </row>
    <row r="75" spans="1:6" ht="11.25" hidden="1" customHeight="1" outlineLevel="1">
      <c r="A75" s="2"/>
      <c r="B75" s="2"/>
      <c r="C75" s="63"/>
      <c r="D75" s="2"/>
      <c r="E75" s="2"/>
      <c r="F75" s="2"/>
    </row>
    <row r="76" spans="1:6" ht="11.25" hidden="1" customHeight="1" outlineLevel="1">
      <c r="A76" s="2"/>
      <c r="B76" s="2" t="s">
        <v>688</v>
      </c>
      <c r="C76" s="63">
        <f>D76-D60</f>
        <v>-1740213</v>
      </c>
      <c r="D76" s="2">
        <v>117413152.1907548</v>
      </c>
      <c r="E76" s="2"/>
      <c r="F76" s="2"/>
    </row>
    <row r="77" spans="1:6" ht="12.75" hidden="1" customHeight="1" outlineLevel="1">
      <c r="A77" s="9"/>
      <c r="B77" s="2"/>
      <c r="C77" s="2"/>
      <c r="D77" s="2"/>
      <c r="E77" s="2"/>
      <c r="F77" s="2"/>
    </row>
    <row r="78" spans="1:6" ht="12.75" hidden="1" customHeight="1" outlineLevel="1">
      <c r="A78" s="9"/>
      <c r="B78" s="2"/>
      <c r="C78" s="2"/>
      <c r="D78" s="2"/>
      <c r="E78" s="2"/>
      <c r="F78" s="2"/>
    </row>
    <row r="79" spans="1:6" ht="12.75" hidden="1" customHeight="1" outlineLevel="1">
      <c r="A79" s="25">
        <v>3</v>
      </c>
      <c r="B79" s="554" t="s">
        <v>714</v>
      </c>
      <c r="C79" s="553" t="s">
        <v>695</v>
      </c>
      <c r="D79" s="553" t="s">
        <v>694</v>
      </c>
      <c r="E79" s="556"/>
      <c r="F79" s="556"/>
    </row>
    <row r="80" spans="1:6" ht="12.75" hidden="1" customHeight="1" outlineLevel="1">
      <c r="B80" s="2" t="s">
        <v>384</v>
      </c>
      <c r="C80" s="552">
        <f>D80-D64</f>
        <v>-18522881.008908272</v>
      </c>
      <c r="D80" s="2">
        <v>5079224889.4067249</v>
      </c>
      <c r="E80" s="2"/>
      <c r="F80" s="2"/>
    </row>
    <row r="81" spans="1:6" ht="11.25" hidden="1" customHeight="1" outlineLevel="1">
      <c r="A81" s="2"/>
      <c r="B81" s="2" t="s">
        <v>17</v>
      </c>
      <c r="C81" s="551">
        <f>D81-D65</f>
        <v>0</v>
      </c>
      <c r="D81" s="2">
        <v>7.7399999999999997E-2</v>
      </c>
      <c r="E81" s="2"/>
      <c r="F81" s="2"/>
    </row>
    <row r="82" spans="1:6" ht="11.25" hidden="1" customHeight="1" outlineLevel="1">
      <c r="A82" s="2"/>
      <c r="B82" s="2"/>
      <c r="C82" s="2"/>
      <c r="D82" s="2"/>
      <c r="E82" s="2"/>
      <c r="F82" s="2"/>
    </row>
    <row r="83" spans="1:6" ht="11.25" hidden="1" customHeight="1" outlineLevel="1">
      <c r="A83" s="2"/>
      <c r="B83" s="2" t="s">
        <v>693</v>
      </c>
      <c r="C83" s="63">
        <f>D83-D67</f>
        <v>-1433670.9900895357</v>
      </c>
      <c r="D83" s="2">
        <v>393132006.44008046</v>
      </c>
      <c r="E83" s="2"/>
      <c r="F83" s="2"/>
    </row>
    <row r="84" spans="1:6" ht="11.25" hidden="1" customHeight="1" outlineLevel="1">
      <c r="A84" s="2"/>
      <c r="B84" s="2"/>
      <c r="C84" s="63"/>
      <c r="D84" s="2"/>
      <c r="E84" s="2"/>
      <c r="F84" s="2"/>
    </row>
    <row r="85" spans="1:6" ht="11.25" hidden="1" customHeight="1" outlineLevel="1">
      <c r="A85" s="2"/>
      <c r="B85" s="2" t="s">
        <v>692</v>
      </c>
      <c r="C85" s="63">
        <f>D85-D69</f>
        <v>-193841.94975829124</v>
      </c>
      <c r="D85" s="2">
        <v>321436302.44060779</v>
      </c>
      <c r="E85" s="2"/>
      <c r="F85" s="2"/>
    </row>
    <row r="86" spans="1:6" ht="11.25" hidden="1" customHeight="1" outlineLevel="1">
      <c r="A86" s="2"/>
      <c r="B86" s="2" t="s">
        <v>691</v>
      </c>
      <c r="C86" s="63">
        <f>D86-D70</f>
        <v>-1239829.0403312445</v>
      </c>
      <c r="D86" s="2">
        <v>71695704.499472678</v>
      </c>
      <c r="E86" s="2"/>
      <c r="F86" s="2"/>
    </row>
    <row r="87" spans="1:6" ht="11.25" hidden="1" customHeight="1" outlineLevel="1">
      <c r="A87" s="2"/>
      <c r="B87" s="2"/>
      <c r="C87" s="63"/>
      <c r="D87" s="2"/>
      <c r="E87" s="2"/>
      <c r="F87" s="2"/>
    </row>
    <row r="88" spans="1:6" ht="11.25" hidden="1" customHeight="1" outlineLevel="1">
      <c r="A88" s="2"/>
      <c r="B88" s="2" t="s">
        <v>690</v>
      </c>
      <c r="C88" s="63">
        <f>D88-D72</f>
        <v>0</v>
      </c>
      <c r="D88" s="2">
        <v>0.61905100000000002</v>
      </c>
      <c r="E88" s="2"/>
      <c r="F88" s="2"/>
    </row>
    <row r="89" spans="1:6" ht="11.25" hidden="1" customHeight="1" outlineLevel="1">
      <c r="A89" s="2"/>
      <c r="B89" s="2" t="s">
        <v>688</v>
      </c>
      <c r="C89" s="63">
        <f>D89-D73</f>
        <v>-2002789</v>
      </c>
      <c r="D89" s="2">
        <v>115815506</v>
      </c>
      <c r="E89" s="2"/>
      <c r="F89" s="2"/>
    </row>
    <row r="90" spans="1:6" ht="11.25" hidden="1" customHeight="1" outlineLevel="1">
      <c r="A90" s="2"/>
      <c r="B90" s="2" t="s">
        <v>689</v>
      </c>
      <c r="C90" s="63">
        <f>D90-D74</f>
        <v>0</v>
      </c>
      <c r="D90" s="2">
        <v>405142.80924519914</v>
      </c>
      <c r="E90" s="2"/>
      <c r="F90" s="2"/>
    </row>
    <row r="91" spans="1:6" ht="11.25" hidden="1" customHeight="1" outlineLevel="1">
      <c r="A91" s="2"/>
      <c r="B91" s="2"/>
      <c r="C91" s="63"/>
      <c r="D91" s="2"/>
      <c r="E91" s="2"/>
      <c r="F91" s="2"/>
    </row>
    <row r="92" spans="1:6" ht="11.25" hidden="1" customHeight="1" outlineLevel="1">
      <c r="A92" s="2"/>
      <c r="B92" s="2" t="s">
        <v>688</v>
      </c>
      <c r="C92" s="63">
        <f>D92-D76</f>
        <v>-2002789</v>
      </c>
      <c r="D92" s="2">
        <v>115410363.1907548</v>
      </c>
      <c r="E92" s="2"/>
      <c r="F92" s="2"/>
    </row>
    <row r="93" spans="1:6" ht="12.75" hidden="1" customHeight="1" outlineLevel="1">
      <c r="A93" s="351"/>
      <c r="B93" s="2"/>
      <c r="C93" s="2"/>
      <c r="D93" s="2"/>
      <c r="E93" s="2"/>
      <c r="F93" s="2"/>
    </row>
    <row r="94" spans="1:6" ht="12.75" hidden="1" customHeight="1" outlineLevel="1">
      <c r="A94" s="351"/>
      <c r="B94" s="2"/>
      <c r="C94" s="2"/>
      <c r="D94" s="2"/>
      <c r="E94" s="2"/>
      <c r="F94" s="2"/>
    </row>
    <row r="95" spans="1:6" ht="12.75" hidden="1" customHeight="1" outlineLevel="1">
      <c r="A95" s="25">
        <v>4</v>
      </c>
      <c r="B95" s="554" t="s">
        <v>713</v>
      </c>
      <c r="C95" s="553" t="s">
        <v>695</v>
      </c>
      <c r="D95" s="553" t="s">
        <v>694</v>
      </c>
      <c r="E95" s="556"/>
      <c r="F95" s="556"/>
    </row>
    <row r="96" spans="1:6" ht="12.75" hidden="1" customHeight="1" outlineLevel="1">
      <c r="B96" s="2" t="s">
        <v>384</v>
      </c>
      <c r="C96" s="552">
        <f>D96-D80</f>
        <v>1602480.7192049026</v>
      </c>
      <c r="D96" s="2">
        <v>5080827370.1259298</v>
      </c>
      <c r="E96" s="2"/>
      <c r="F96" s="2"/>
    </row>
    <row r="97" spans="1:6" ht="11.25" hidden="1" customHeight="1" outlineLevel="1">
      <c r="A97" s="2"/>
      <c r="B97" s="2" t="s">
        <v>17</v>
      </c>
      <c r="C97" s="551">
        <f>D97-D81</f>
        <v>0</v>
      </c>
      <c r="D97" s="2">
        <v>7.7399999999999997E-2</v>
      </c>
      <c r="E97" s="2"/>
      <c r="F97" s="2"/>
    </row>
    <row r="98" spans="1:6" ht="11.25" hidden="1" customHeight="1" outlineLevel="1">
      <c r="A98" s="2"/>
      <c r="B98" s="2"/>
      <c r="C98" s="2"/>
      <c r="D98" s="2"/>
      <c r="E98" s="2"/>
      <c r="F98" s="2"/>
    </row>
    <row r="99" spans="1:6" ht="11.25" hidden="1" customHeight="1" outlineLevel="1">
      <c r="A99" s="2"/>
      <c r="B99" s="2" t="s">
        <v>693</v>
      </c>
      <c r="C99" s="63">
        <f>D99-D83</f>
        <v>124032.00766646862</v>
      </c>
      <c r="D99" s="2">
        <v>393256038.44774693</v>
      </c>
      <c r="E99" s="2"/>
      <c r="F99" s="2"/>
    </row>
    <row r="100" spans="1:6" ht="11.25" hidden="1" customHeight="1" outlineLevel="1">
      <c r="A100" s="2"/>
      <c r="B100" s="2"/>
      <c r="C100" s="63"/>
      <c r="D100" s="2"/>
      <c r="E100" s="2"/>
      <c r="F100" s="2"/>
    </row>
    <row r="101" spans="1:6" ht="11.25" hidden="1" customHeight="1" outlineLevel="1">
      <c r="A101" s="2"/>
      <c r="B101" s="2" t="s">
        <v>692</v>
      </c>
      <c r="C101" s="63">
        <f>D101-D85</f>
        <v>3221731.3991353512</v>
      </c>
      <c r="D101" s="2">
        <v>324658033.83974314</v>
      </c>
      <c r="E101" s="2"/>
      <c r="F101" s="2"/>
    </row>
    <row r="102" spans="1:6" ht="11.25" hidden="1" customHeight="1" outlineLevel="1">
      <c r="A102" s="2"/>
      <c r="B102" s="2" t="s">
        <v>691</v>
      </c>
      <c r="C102" s="63">
        <f>D102-D86</f>
        <v>-3097699.3914688826</v>
      </c>
      <c r="D102" s="2">
        <v>68598005.108003795</v>
      </c>
      <c r="E102" s="2"/>
      <c r="F102" s="2"/>
    </row>
    <row r="103" spans="1:6" ht="11.25" hidden="1" customHeight="1" outlineLevel="1">
      <c r="A103" s="2"/>
      <c r="B103" s="2"/>
      <c r="C103" s="63"/>
      <c r="D103" s="2"/>
      <c r="E103" s="2"/>
      <c r="F103" s="2"/>
    </row>
    <row r="104" spans="1:6" ht="11.25" hidden="1" customHeight="1" outlineLevel="1">
      <c r="A104" s="2"/>
      <c r="B104" s="2" t="s">
        <v>690</v>
      </c>
      <c r="C104" s="63">
        <f>D104-D88</f>
        <v>0</v>
      </c>
      <c r="D104" s="2">
        <v>0.61905100000000002</v>
      </c>
      <c r="E104" s="2"/>
      <c r="F104" s="2"/>
    </row>
    <row r="105" spans="1:6" ht="11.25" hidden="1" customHeight="1" outlineLevel="1">
      <c r="A105" s="2"/>
      <c r="B105" s="2" t="s">
        <v>688</v>
      </c>
      <c r="C105" s="63">
        <f>D105-D89</f>
        <v>-5003949</v>
      </c>
      <c r="D105" s="2">
        <v>110811557</v>
      </c>
      <c r="E105" s="2"/>
      <c r="F105" s="2"/>
    </row>
    <row r="106" spans="1:6" ht="11.25" hidden="1" customHeight="1" outlineLevel="1">
      <c r="A106" s="2"/>
      <c r="B106" s="2" t="s">
        <v>689</v>
      </c>
      <c r="C106" s="63">
        <f>D106-D90</f>
        <v>0</v>
      </c>
      <c r="D106" s="2">
        <v>405142.80924519914</v>
      </c>
      <c r="E106" s="2"/>
      <c r="F106" s="2"/>
    </row>
    <row r="107" spans="1:6" ht="11.25" hidden="1" customHeight="1" outlineLevel="1">
      <c r="A107" s="2"/>
      <c r="B107" s="2"/>
      <c r="C107" s="63"/>
      <c r="D107" s="2"/>
      <c r="E107" s="2"/>
      <c r="F107" s="2"/>
    </row>
    <row r="108" spans="1:6" ht="11.25" hidden="1" customHeight="1" outlineLevel="1">
      <c r="A108" s="2"/>
      <c r="B108" s="2" t="s">
        <v>688</v>
      </c>
      <c r="C108" s="63">
        <f>D108-D92</f>
        <v>-5003949</v>
      </c>
      <c r="D108" s="2">
        <v>110406414.1907548</v>
      </c>
      <c r="E108" s="2"/>
      <c r="F108" s="2"/>
    </row>
    <row r="109" spans="1:6" ht="12.75" hidden="1" customHeight="1" outlineLevel="1">
      <c r="A109" s="351"/>
      <c r="B109" s="252"/>
      <c r="C109" s="252"/>
      <c r="D109" s="122"/>
      <c r="E109" s="122"/>
      <c r="F109" s="122"/>
    </row>
    <row r="110" spans="1:6" ht="12.75" hidden="1" customHeight="1" outlineLevel="1">
      <c r="A110" s="351"/>
      <c r="B110" s="252"/>
      <c r="C110" s="252"/>
      <c r="D110" s="122"/>
      <c r="E110" s="122"/>
      <c r="F110" s="122"/>
    </row>
    <row r="111" spans="1:6" ht="12.75" hidden="1" customHeight="1" outlineLevel="1">
      <c r="A111" s="25">
        <v>5</v>
      </c>
      <c r="B111" s="554" t="s">
        <v>712</v>
      </c>
      <c r="C111" s="553" t="s">
        <v>695</v>
      </c>
      <c r="D111" s="553" t="s">
        <v>694</v>
      </c>
      <c r="E111" s="556"/>
      <c r="F111" s="556"/>
    </row>
    <row r="112" spans="1:6" ht="12.75" hidden="1" customHeight="1" outlineLevel="1">
      <c r="B112" s="2" t="s">
        <v>384</v>
      </c>
      <c r="C112" s="552">
        <f>D112-D96</f>
        <v>-5131869.0972137451</v>
      </c>
      <c r="D112" s="2">
        <v>5075695501.0287161</v>
      </c>
      <c r="E112" s="2"/>
      <c r="F112" s="2"/>
    </row>
    <row r="113" spans="1:6" ht="11.25" hidden="1" customHeight="1" outlineLevel="1">
      <c r="A113" s="2"/>
      <c r="B113" s="2" t="s">
        <v>17</v>
      </c>
      <c r="C113" s="551">
        <f>D113-D97</f>
        <v>0</v>
      </c>
      <c r="D113" s="2">
        <v>7.7399999999999997E-2</v>
      </c>
      <c r="E113" s="2"/>
      <c r="F113" s="2"/>
    </row>
    <row r="114" spans="1:6" ht="11.25" hidden="1" customHeight="1" outlineLevel="1">
      <c r="A114" s="2"/>
      <c r="B114" s="2"/>
      <c r="C114" s="2"/>
      <c r="D114" s="2"/>
      <c r="E114" s="2"/>
      <c r="F114" s="2"/>
    </row>
    <row r="115" spans="1:6" ht="11.25" hidden="1" customHeight="1" outlineLevel="1">
      <c r="A115" s="2"/>
      <c r="B115" s="2" t="s">
        <v>693</v>
      </c>
      <c r="C115" s="63">
        <f>D115-D99</f>
        <v>-397206.66812431812</v>
      </c>
      <c r="D115" s="2">
        <v>392858831.77962261</v>
      </c>
      <c r="E115" s="2"/>
      <c r="F115" s="2"/>
    </row>
    <row r="116" spans="1:6" ht="11.25" hidden="1" customHeight="1" outlineLevel="1">
      <c r="A116" s="2"/>
      <c r="B116" s="2"/>
      <c r="C116" s="63"/>
      <c r="D116" s="2"/>
      <c r="E116" s="2"/>
      <c r="F116" s="2"/>
    </row>
    <row r="117" spans="1:6" ht="11.25" hidden="1" customHeight="1" outlineLevel="1">
      <c r="A117" s="2"/>
      <c r="B117" s="2" t="s">
        <v>692</v>
      </c>
      <c r="C117" s="63">
        <f>D117-D101</f>
        <v>3439011.8798978329</v>
      </c>
      <c r="D117" s="2">
        <v>328097045.71964097</v>
      </c>
      <c r="E117" s="2"/>
      <c r="F117" s="2"/>
    </row>
    <row r="118" spans="1:6" ht="11.25" hidden="1" customHeight="1" outlineLevel="1">
      <c r="A118" s="2"/>
      <c r="B118" s="2" t="s">
        <v>691</v>
      </c>
      <c r="C118" s="63">
        <f>D118-D102</f>
        <v>-3836218.548022151</v>
      </c>
      <c r="D118" s="2">
        <v>64761786.559981644</v>
      </c>
      <c r="E118" s="2"/>
      <c r="F118" s="2"/>
    </row>
    <row r="119" spans="1:6" ht="11.25" hidden="1" customHeight="1" outlineLevel="1">
      <c r="A119" s="2"/>
      <c r="B119" s="2"/>
      <c r="C119" s="63"/>
      <c r="D119" s="2"/>
      <c r="E119" s="2"/>
      <c r="F119" s="2"/>
    </row>
    <row r="120" spans="1:6" ht="11.25" hidden="1" customHeight="1" outlineLevel="1">
      <c r="A120" s="2"/>
      <c r="B120" s="2" t="s">
        <v>690</v>
      </c>
      <c r="C120" s="63">
        <f>D120-D104</f>
        <v>0</v>
      </c>
      <c r="D120" s="2">
        <v>0.61905100000000002</v>
      </c>
      <c r="E120" s="2"/>
      <c r="F120" s="2"/>
    </row>
    <row r="121" spans="1:6" ht="11.25" hidden="1" customHeight="1" outlineLevel="1">
      <c r="A121" s="2"/>
      <c r="B121" s="2" t="s">
        <v>688</v>
      </c>
      <c r="C121" s="63">
        <f>D121-D105</f>
        <v>-6196935</v>
      </c>
      <c r="D121" s="2">
        <v>104614622</v>
      </c>
      <c r="E121" s="2"/>
      <c r="F121" s="2"/>
    </row>
    <row r="122" spans="1:6" ht="11.25" hidden="1" customHeight="1" outlineLevel="1">
      <c r="A122" s="2"/>
      <c r="B122" s="2" t="s">
        <v>689</v>
      </c>
      <c r="C122" s="63">
        <f>D122-D106</f>
        <v>0</v>
      </c>
      <c r="D122" s="2">
        <v>405142.80924519914</v>
      </c>
      <c r="E122" s="2"/>
      <c r="F122" s="2"/>
    </row>
    <row r="123" spans="1:6" ht="11.25" hidden="1" customHeight="1" outlineLevel="1">
      <c r="A123" s="2"/>
      <c r="B123" s="2"/>
      <c r="C123" s="63"/>
      <c r="D123" s="2"/>
      <c r="E123" s="2"/>
      <c r="F123" s="2"/>
    </row>
    <row r="124" spans="1:6" ht="11.25" hidden="1" customHeight="1" outlineLevel="1">
      <c r="A124" s="2"/>
      <c r="B124" s="2" t="s">
        <v>688</v>
      </c>
      <c r="C124" s="63">
        <f>D124-D108</f>
        <v>-6196935</v>
      </c>
      <c r="D124" s="2">
        <v>104209479.1907548</v>
      </c>
      <c r="E124" s="2"/>
      <c r="F124" s="2"/>
    </row>
    <row r="125" spans="1:6" ht="12.75" hidden="1" customHeight="1" outlineLevel="1"/>
    <row r="126" spans="1:6" ht="12.75" hidden="1" customHeight="1" outlineLevel="1"/>
    <row r="127" spans="1:6" ht="12.75" hidden="1" customHeight="1" outlineLevel="1">
      <c r="A127" s="25">
        <v>6</v>
      </c>
      <c r="B127" s="554" t="s">
        <v>711</v>
      </c>
      <c r="C127" s="553" t="s">
        <v>695</v>
      </c>
      <c r="D127" s="553" t="s">
        <v>694</v>
      </c>
      <c r="E127" s="556"/>
      <c r="F127" s="556"/>
    </row>
    <row r="128" spans="1:6" ht="12.75" hidden="1" customHeight="1" outlineLevel="1">
      <c r="B128" s="2" t="s">
        <v>384</v>
      </c>
      <c r="C128" s="552">
        <f>D128-D112</f>
        <v>0</v>
      </c>
      <c r="D128" s="2">
        <v>5075695501.0287161</v>
      </c>
      <c r="E128" s="2"/>
      <c r="F128" s="2"/>
    </row>
    <row r="129" spans="1:6" ht="11.25" hidden="1" customHeight="1" outlineLevel="1">
      <c r="A129" s="2"/>
      <c r="B129" s="2" t="s">
        <v>17</v>
      </c>
      <c r="C129" s="551">
        <f>D129-D113</f>
        <v>0</v>
      </c>
      <c r="D129" s="2">
        <v>7.7399999999999997E-2</v>
      </c>
      <c r="E129" s="2"/>
      <c r="F129" s="2"/>
    </row>
    <row r="130" spans="1:6" ht="11.25" hidden="1" customHeight="1" outlineLevel="1">
      <c r="A130" s="2"/>
      <c r="B130" s="2"/>
      <c r="C130" s="2"/>
      <c r="D130" s="2"/>
      <c r="E130" s="2"/>
      <c r="F130" s="2"/>
    </row>
    <row r="131" spans="1:6" ht="11.25" hidden="1" customHeight="1" outlineLevel="1">
      <c r="A131" s="2"/>
      <c r="B131" s="2" t="s">
        <v>693</v>
      </c>
      <c r="C131" s="63">
        <f>D131-D115</f>
        <v>0</v>
      </c>
      <c r="D131" s="2">
        <v>392858831.77962261</v>
      </c>
      <c r="E131" s="2"/>
      <c r="F131" s="2"/>
    </row>
    <row r="132" spans="1:6" ht="11.25" hidden="1" customHeight="1" outlineLevel="1">
      <c r="A132" s="2"/>
      <c r="B132" s="2"/>
      <c r="C132" s="63"/>
      <c r="D132" s="2"/>
      <c r="E132" s="2"/>
      <c r="F132" s="2"/>
    </row>
    <row r="133" spans="1:6" ht="11.25" hidden="1" customHeight="1" outlineLevel="1">
      <c r="A133" s="2"/>
      <c r="B133" s="2" t="s">
        <v>692</v>
      </c>
      <c r="C133" s="63">
        <f>D133-D117</f>
        <v>264904.56678104401</v>
      </c>
      <c r="D133" s="2">
        <v>328361950.28642201</v>
      </c>
      <c r="E133" s="2"/>
      <c r="F133" s="2"/>
    </row>
    <row r="134" spans="1:6" ht="11.25" hidden="1" customHeight="1" outlineLevel="1">
      <c r="A134" s="2"/>
      <c r="B134" s="2" t="s">
        <v>691</v>
      </c>
      <c r="C134" s="63">
        <f>D134-D118</f>
        <v>-264904.56678104401</v>
      </c>
      <c r="D134" s="2">
        <v>64496881.9932006</v>
      </c>
      <c r="E134" s="2"/>
      <c r="F134" s="2"/>
    </row>
    <row r="135" spans="1:6" ht="11.25" hidden="1" customHeight="1" outlineLevel="1">
      <c r="A135" s="2"/>
      <c r="B135" s="2"/>
      <c r="C135" s="63"/>
      <c r="D135" s="2"/>
      <c r="E135" s="2"/>
      <c r="F135" s="2"/>
    </row>
    <row r="136" spans="1:6" ht="11.25" hidden="1" customHeight="1" outlineLevel="1">
      <c r="A136" s="2"/>
      <c r="B136" s="2" t="s">
        <v>690</v>
      </c>
      <c r="C136" s="63">
        <f>D136-D120</f>
        <v>0</v>
      </c>
      <c r="D136" s="2">
        <v>0.61905100000000002</v>
      </c>
      <c r="E136" s="2"/>
      <c r="F136" s="2"/>
    </row>
    <row r="137" spans="1:6" ht="11.25" hidden="1" customHeight="1" outlineLevel="1">
      <c r="A137" s="2"/>
      <c r="B137" s="2" t="s">
        <v>688</v>
      </c>
      <c r="C137" s="63">
        <f>D137-D121</f>
        <v>-427920</v>
      </c>
      <c r="D137" s="2">
        <v>104186702</v>
      </c>
      <c r="E137" s="2"/>
      <c r="F137" s="2"/>
    </row>
    <row r="138" spans="1:6" ht="11.25" hidden="1" customHeight="1" outlineLevel="1">
      <c r="A138" s="2"/>
      <c r="B138" s="2" t="s">
        <v>689</v>
      </c>
      <c r="C138" s="63">
        <f>D138-D122</f>
        <v>0</v>
      </c>
      <c r="D138" s="2">
        <v>405142.80924519914</v>
      </c>
      <c r="E138" s="2"/>
      <c r="F138" s="2"/>
    </row>
    <row r="139" spans="1:6" ht="11.25" hidden="1" customHeight="1" outlineLevel="1">
      <c r="A139" s="2"/>
      <c r="B139" s="2"/>
      <c r="C139" s="63"/>
      <c r="D139" s="2"/>
      <c r="E139" s="2"/>
      <c r="F139" s="2"/>
    </row>
    <row r="140" spans="1:6" ht="11.25" hidden="1" customHeight="1" outlineLevel="1">
      <c r="A140" s="2"/>
      <c r="B140" s="2" t="s">
        <v>688</v>
      </c>
      <c r="C140" s="63">
        <f>D140-D124</f>
        <v>-427920</v>
      </c>
      <c r="D140" s="2">
        <v>103781559.1907548</v>
      </c>
      <c r="E140" s="2"/>
      <c r="F140" s="2"/>
    </row>
    <row r="141" spans="1:6" ht="12.75" hidden="1" customHeight="1" outlineLevel="1"/>
    <row r="142" spans="1:6" ht="12.75" hidden="1" customHeight="1" outlineLevel="1"/>
    <row r="143" spans="1:6" ht="12.75" hidden="1" customHeight="1" outlineLevel="1">
      <c r="A143" s="25">
        <v>7</v>
      </c>
      <c r="B143" s="554" t="s">
        <v>710</v>
      </c>
      <c r="C143" s="553" t="s">
        <v>695</v>
      </c>
      <c r="D143" s="553" t="s">
        <v>694</v>
      </c>
      <c r="E143" s="556"/>
      <c r="F143" s="556"/>
    </row>
    <row r="144" spans="1:6" ht="12.75" hidden="1" customHeight="1" outlineLevel="1">
      <c r="B144" s="2" t="s">
        <v>384</v>
      </c>
      <c r="C144" s="552">
        <f>D144-D128</f>
        <v>8128225.8605270386</v>
      </c>
      <c r="D144" s="2">
        <v>5083823726.8892431</v>
      </c>
      <c r="E144" s="2"/>
      <c r="F144" s="2"/>
    </row>
    <row r="145" spans="1:6" ht="11.25" hidden="1" customHeight="1" outlineLevel="1">
      <c r="A145" s="2"/>
      <c r="B145" s="2" t="s">
        <v>17</v>
      </c>
      <c r="C145" s="551">
        <f>D145-D129</f>
        <v>0</v>
      </c>
      <c r="D145" s="2">
        <v>7.7399999999999997E-2</v>
      </c>
      <c r="E145" s="2"/>
      <c r="F145" s="2"/>
    </row>
    <row r="146" spans="1:6" ht="11.25" hidden="1" customHeight="1" outlineLevel="1">
      <c r="A146" s="2"/>
      <c r="B146" s="2"/>
      <c r="C146" s="2"/>
      <c r="D146" s="2"/>
      <c r="E146" s="2"/>
      <c r="F146" s="2"/>
    </row>
    <row r="147" spans="1:6" ht="11.25" hidden="1" customHeight="1" outlineLevel="1">
      <c r="A147" s="2"/>
      <c r="B147" s="2" t="s">
        <v>693</v>
      </c>
      <c r="C147" s="63">
        <f>D147-D131</f>
        <v>629124.68160480261</v>
      </c>
      <c r="D147" s="2">
        <v>393487956.46122742</v>
      </c>
      <c r="E147" s="2"/>
      <c r="F147" s="2"/>
    </row>
    <row r="148" spans="1:6" ht="11.25" hidden="1" customHeight="1" outlineLevel="1">
      <c r="A148" s="2"/>
      <c r="B148" s="2"/>
      <c r="C148" s="63"/>
      <c r="D148" s="2"/>
      <c r="E148" s="2"/>
      <c r="F148" s="2"/>
    </row>
    <row r="149" spans="1:6" ht="11.25" hidden="1" customHeight="1" outlineLevel="1">
      <c r="A149" s="2"/>
      <c r="B149" s="2" t="s">
        <v>692</v>
      </c>
      <c r="C149" s="63">
        <f>D149-D133</f>
        <v>16341513.604683399</v>
      </c>
      <c r="D149" s="2">
        <v>344703463.89110541</v>
      </c>
      <c r="E149" s="2"/>
      <c r="F149" s="2"/>
    </row>
    <row r="150" spans="1:6" ht="11.25" hidden="1" customHeight="1" outlineLevel="1">
      <c r="A150" s="2"/>
      <c r="B150" s="2" t="s">
        <v>691</v>
      </c>
      <c r="C150" s="63">
        <f>D150-D134</f>
        <v>-15712388.923078597</v>
      </c>
      <c r="D150" s="2">
        <v>48784493.070122004</v>
      </c>
      <c r="E150" s="2"/>
      <c r="F150" s="2"/>
    </row>
    <row r="151" spans="1:6" ht="11.25" hidden="1" customHeight="1" outlineLevel="1">
      <c r="A151" s="2"/>
      <c r="B151" s="2"/>
      <c r="C151" s="63"/>
      <c r="D151" s="2"/>
      <c r="E151" s="2"/>
      <c r="F151" s="2"/>
    </row>
    <row r="152" spans="1:6" ht="11.25" hidden="1" customHeight="1" outlineLevel="1">
      <c r="A152" s="2"/>
      <c r="B152" s="2" t="s">
        <v>690</v>
      </c>
      <c r="C152" s="63">
        <f>D152-D136</f>
        <v>0</v>
      </c>
      <c r="D152" s="2">
        <v>0.61905100000000002</v>
      </c>
      <c r="E152" s="2"/>
      <c r="F152" s="2"/>
    </row>
    <row r="153" spans="1:6" ht="11.25" hidden="1" customHeight="1" outlineLevel="1">
      <c r="A153" s="2"/>
      <c r="B153" s="2" t="s">
        <v>688</v>
      </c>
      <c r="C153" s="63">
        <f>D153-D137</f>
        <v>-25381413</v>
      </c>
      <c r="D153" s="2">
        <v>78805289</v>
      </c>
      <c r="E153" s="2"/>
      <c r="F153" s="2"/>
    </row>
    <row r="154" spans="1:6" ht="11.25" hidden="1" customHeight="1" outlineLevel="1">
      <c r="A154" s="2"/>
      <c r="B154" s="2" t="s">
        <v>689</v>
      </c>
      <c r="C154" s="63">
        <f>D154-D138</f>
        <v>0</v>
      </c>
      <c r="D154" s="2">
        <v>405142.80924519914</v>
      </c>
      <c r="E154" s="2"/>
      <c r="F154" s="2"/>
    </row>
    <row r="155" spans="1:6" ht="11.25" hidden="1" customHeight="1" outlineLevel="1">
      <c r="A155" s="2"/>
      <c r="B155" s="2"/>
      <c r="C155" s="63"/>
      <c r="D155" s="2"/>
      <c r="E155" s="2"/>
      <c r="F155" s="2"/>
    </row>
    <row r="156" spans="1:6" ht="11.25" hidden="1" customHeight="1" outlineLevel="1">
      <c r="A156" s="2"/>
      <c r="B156" s="2" t="s">
        <v>688</v>
      </c>
      <c r="C156" s="63">
        <f>D156-D140</f>
        <v>-25381413</v>
      </c>
      <c r="D156" s="2">
        <v>78400146.190754801</v>
      </c>
      <c r="E156" s="2"/>
      <c r="F156" s="2"/>
    </row>
    <row r="157" spans="1:6" ht="12.75" hidden="1" customHeight="1" outlineLevel="1"/>
    <row r="158" spans="1:6" ht="12.75" hidden="1" customHeight="1" outlineLevel="1"/>
    <row r="159" spans="1:6" ht="12.75" hidden="1" customHeight="1" outlineLevel="1">
      <c r="A159" s="25">
        <v>8</v>
      </c>
      <c r="B159" s="554" t="s">
        <v>709</v>
      </c>
      <c r="C159" s="553" t="s">
        <v>695</v>
      </c>
      <c r="D159" s="553" t="s">
        <v>694</v>
      </c>
      <c r="E159" s="556"/>
      <c r="F159" s="556"/>
    </row>
    <row r="160" spans="1:6" ht="12.75" hidden="1" customHeight="1" outlineLevel="1">
      <c r="B160" s="2" t="s">
        <v>384</v>
      </c>
      <c r="C160" s="552">
        <f>D160-D144</f>
        <v>-127629534</v>
      </c>
      <c r="D160" s="2">
        <v>4956194192.8892431</v>
      </c>
      <c r="E160" s="2"/>
      <c r="F160" s="2"/>
    </row>
    <row r="161" spans="1:6" ht="11.25" hidden="1" customHeight="1" outlineLevel="1">
      <c r="A161" s="2"/>
      <c r="B161" s="2" t="s">
        <v>17</v>
      </c>
      <c r="C161" s="551">
        <f>D161-D145</f>
        <v>0</v>
      </c>
      <c r="D161" s="2">
        <v>7.7399999999999997E-2</v>
      </c>
      <c r="E161" s="2"/>
      <c r="F161" s="2"/>
    </row>
    <row r="162" spans="1:6" ht="11.25" hidden="1" customHeight="1" outlineLevel="1">
      <c r="A162" s="2"/>
      <c r="B162" s="2"/>
      <c r="C162" s="2"/>
      <c r="D162" s="2"/>
      <c r="E162" s="2"/>
      <c r="F162" s="2"/>
    </row>
    <row r="163" spans="1:6" ht="11.25" hidden="1" customHeight="1" outlineLevel="1">
      <c r="A163" s="2"/>
      <c r="B163" s="2" t="s">
        <v>693</v>
      </c>
      <c r="C163" s="63">
        <f>D163-D147</f>
        <v>-9878525.9316000342</v>
      </c>
      <c r="D163" s="2">
        <v>383609430.52962738</v>
      </c>
      <c r="E163" s="2"/>
      <c r="F163" s="2"/>
    </row>
    <row r="164" spans="1:6" ht="11.25" hidden="1" customHeight="1" outlineLevel="1">
      <c r="A164" s="2"/>
      <c r="B164" s="2"/>
      <c r="C164" s="63"/>
      <c r="D164" s="2"/>
      <c r="E164" s="2"/>
      <c r="F164" s="2"/>
    </row>
    <row r="165" spans="1:6" ht="11.25" hidden="1" customHeight="1" outlineLevel="1">
      <c r="A165" s="2"/>
      <c r="B165" s="2" t="s">
        <v>692</v>
      </c>
      <c r="C165" s="63">
        <f>D165-D149</f>
        <v>-5944487.3566429615</v>
      </c>
      <c r="D165" s="2">
        <v>338758976.53446245</v>
      </c>
      <c r="E165" s="2"/>
      <c r="F165" s="2"/>
    </row>
    <row r="166" spans="1:6" ht="11.25" hidden="1" customHeight="1" outlineLevel="1">
      <c r="A166" s="2"/>
      <c r="B166" s="2" t="s">
        <v>691</v>
      </c>
      <c r="C166" s="63">
        <f>D166-D150</f>
        <v>-3934038.5749570727</v>
      </c>
      <c r="D166" s="2">
        <v>44850454.495164931</v>
      </c>
      <c r="E166" s="2"/>
      <c r="F166" s="2"/>
    </row>
    <row r="167" spans="1:6" ht="11.25" hidden="1" customHeight="1" outlineLevel="1">
      <c r="A167" s="2"/>
      <c r="B167" s="2"/>
      <c r="C167" s="63"/>
      <c r="D167" s="2"/>
      <c r="E167" s="2"/>
      <c r="F167" s="2"/>
    </row>
    <row r="168" spans="1:6" ht="11.25" hidden="1" customHeight="1" outlineLevel="1">
      <c r="A168" s="2"/>
      <c r="B168" s="2" t="s">
        <v>690</v>
      </c>
      <c r="C168" s="63">
        <f>D168-D152</f>
        <v>0</v>
      </c>
      <c r="D168" s="2">
        <v>0.61905100000000002</v>
      </c>
      <c r="E168" s="2"/>
      <c r="F168" s="2"/>
    </row>
    <row r="169" spans="1:6" ht="11.25" hidden="1" customHeight="1" outlineLevel="1">
      <c r="A169" s="2"/>
      <c r="B169" s="2" t="s">
        <v>688</v>
      </c>
      <c r="C169" s="63">
        <f>D169-D153</f>
        <v>-6354951</v>
      </c>
      <c r="D169" s="2">
        <v>72450338</v>
      </c>
      <c r="E169" s="2"/>
      <c r="F169" s="2"/>
    </row>
    <row r="170" spans="1:6" ht="11.25" hidden="1" customHeight="1" outlineLevel="1">
      <c r="A170" s="2"/>
      <c r="B170" s="2" t="s">
        <v>689</v>
      </c>
      <c r="C170" s="63">
        <f>D170-D154</f>
        <v>0</v>
      </c>
      <c r="D170" s="2">
        <v>405142.80924519914</v>
      </c>
      <c r="E170" s="2"/>
      <c r="F170" s="2"/>
    </row>
    <row r="171" spans="1:6" ht="11.25" hidden="1" customHeight="1" outlineLevel="1">
      <c r="A171" s="2"/>
      <c r="B171" s="2"/>
      <c r="C171" s="63"/>
      <c r="D171" s="2"/>
      <c r="E171" s="2"/>
      <c r="F171" s="2"/>
    </row>
    <row r="172" spans="1:6" ht="11.25" hidden="1" customHeight="1" outlineLevel="1">
      <c r="A172" s="2"/>
      <c r="B172" s="2" t="s">
        <v>688</v>
      </c>
      <c r="C172" s="63">
        <f>D172-D156</f>
        <v>-6354951</v>
      </c>
      <c r="D172" s="2">
        <v>72045195.190754801</v>
      </c>
      <c r="E172" s="2"/>
      <c r="F172" s="2"/>
    </row>
    <row r="173" spans="1:6" ht="12.75" hidden="1" customHeight="1" outlineLevel="1"/>
    <row r="174" spans="1:6" ht="12.75" hidden="1" customHeight="1" outlineLevel="1"/>
    <row r="175" spans="1:6" ht="12.75" hidden="1" customHeight="1" outlineLevel="1">
      <c r="A175" s="25">
        <v>9</v>
      </c>
      <c r="B175" s="554" t="s">
        <v>708</v>
      </c>
      <c r="C175" s="553" t="s">
        <v>695</v>
      </c>
      <c r="D175" s="553" t="s">
        <v>694</v>
      </c>
      <c r="E175" s="556"/>
      <c r="F175" s="556"/>
    </row>
    <row r="176" spans="1:6" ht="12.75" hidden="1" customHeight="1" outlineLevel="1">
      <c r="B176" s="2" t="s">
        <v>384</v>
      </c>
      <c r="C176" s="552">
        <f>D176-D160</f>
        <v>-31639936.25</v>
      </c>
      <c r="D176" s="2">
        <v>4924554256.6392431</v>
      </c>
      <c r="E176" s="2"/>
      <c r="F176" s="2"/>
    </row>
    <row r="177" spans="1:6" ht="11.25" hidden="1" customHeight="1" outlineLevel="1">
      <c r="A177" s="2"/>
      <c r="B177" s="2" t="s">
        <v>17</v>
      </c>
      <c r="C177" s="551">
        <f>D177-D161</f>
        <v>0</v>
      </c>
      <c r="D177" s="2">
        <v>7.7399999999999997E-2</v>
      </c>
      <c r="E177" s="2"/>
      <c r="F177" s="2"/>
    </row>
    <row r="178" spans="1:6" ht="11.25" hidden="1" customHeight="1" outlineLevel="1">
      <c r="A178" s="2"/>
      <c r="B178" s="2"/>
      <c r="C178" s="2"/>
      <c r="D178" s="2"/>
      <c r="E178" s="2"/>
      <c r="F178" s="2"/>
    </row>
    <row r="179" spans="1:6" ht="11.25" hidden="1" customHeight="1" outlineLevel="1">
      <c r="A179" s="2"/>
      <c r="B179" s="2" t="s">
        <v>693</v>
      </c>
      <c r="C179" s="63">
        <f>D179-D163</f>
        <v>-2448931.0657500029</v>
      </c>
      <c r="D179" s="2">
        <v>381160499.46387738</v>
      </c>
      <c r="E179" s="2"/>
      <c r="F179" s="2"/>
    </row>
    <row r="180" spans="1:6" ht="11.25" hidden="1" customHeight="1" outlineLevel="1">
      <c r="A180" s="2"/>
      <c r="B180" s="2"/>
      <c r="C180" s="63"/>
      <c r="D180" s="2"/>
      <c r="E180" s="2"/>
      <c r="F180" s="2"/>
    </row>
    <row r="181" spans="1:6" ht="11.25" hidden="1" customHeight="1" outlineLevel="1">
      <c r="A181" s="2"/>
      <c r="B181" s="2" t="s">
        <v>692</v>
      </c>
      <c r="C181" s="63">
        <f>D181-D165</f>
        <v>7420211.432101965</v>
      </c>
      <c r="D181" s="2">
        <v>346179187.96656442</v>
      </c>
      <c r="E181" s="2"/>
      <c r="F181" s="2"/>
    </row>
    <row r="182" spans="1:6" ht="11.25" hidden="1" customHeight="1" outlineLevel="1">
      <c r="A182" s="2"/>
      <c r="B182" s="2" t="s">
        <v>691</v>
      </c>
      <c r="C182" s="63">
        <f>D182-D166</f>
        <v>-9869142.4978519678</v>
      </c>
      <c r="D182" s="2">
        <v>34981311.997312963</v>
      </c>
      <c r="E182" s="2"/>
      <c r="F182" s="2"/>
    </row>
    <row r="183" spans="1:6" ht="11.25" hidden="1" customHeight="1" outlineLevel="1">
      <c r="A183" s="2"/>
      <c r="B183" s="2"/>
      <c r="C183" s="63"/>
      <c r="D183" s="2"/>
      <c r="E183" s="2"/>
      <c r="F183" s="2"/>
    </row>
    <row r="184" spans="1:6" ht="11.25" hidden="1" customHeight="1" outlineLevel="1">
      <c r="A184" s="2"/>
      <c r="B184" s="2" t="s">
        <v>690</v>
      </c>
      <c r="C184" s="63">
        <f>D184-D168</f>
        <v>0</v>
      </c>
      <c r="D184" s="2">
        <v>0.61905100000000002</v>
      </c>
      <c r="E184" s="2"/>
      <c r="F184" s="2"/>
    </row>
    <row r="185" spans="1:6" ht="11.25" hidden="1" customHeight="1" outlineLevel="1">
      <c r="A185" s="2"/>
      <c r="B185" s="2" t="s">
        <v>688</v>
      </c>
      <c r="C185" s="63">
        <f>D185-D169</f>
        <v>-15942373</v>
      </c>
      <c r="D185" s="2">
        <v>56507965</v>
      </c>
      <c r="E185" s="2"/>
      <c r="F185" s="2"/>
    </row>
    <row r="186" spans="1:6" ht="11.25" hidden="1" customHeight="1" outlineLevel="1">
      <c r="A186" s="2"/>
      <c r="B186" s="2" t="s">
        <v>689</v>
      </c>
      <c r="C186" s="63">
        <f>D186-D170</f>
        <v>0</v>
      </c>
      <c r="D186" s="2">
        <v>405142.80924519914</v>
      </c>
      <c r="E186" s="2"/>
      <c r="F186" s="2"/>
    </row>
    <row r="187" spans="1:6" ht="11.25" hidden="1" customHeight="1" outlineLevel="1">
      <c r="A187" s="2"/>
      <c r="B187" s="2"/>
      <c r="C187" s="63"/>
      <c r="D187" s="2"/>
      <c r="E187" s="2"/>
      <c r="F187" s="2"/>
    </row>
    <row r="188" spans="1:6" ht="11.25" hidden="1" customHeight="1" outlineLevel="1">
      <c r="A188" s="2"/>
      <c r="B188" s="2" t="s">
        <v>688</v>
      </c>
      <c r="C188" s="63">
        <f>D188-D172</f>
        <v>-15942373</v>
      </c>
      <c r="D188" s="2">
        <v>56102822.190754801</v>
      </c>
      <c r="E188" s="2"/>
      <c r="F188" s="2"/>
    </row>
    <row r="189" spans="1:6" ht="12.75" hidden="1" customHeight="1" outlineLevel="1"/>
    <row r="190" spans="1:6" ht="12.75" hidden="1" customHeight="1" outlineLevel="1"/>
    <row r="191" spans="1:6" ht="12.75" hidden="1" customHeight="1" outlineLevel="1">
      <c r="A191" s="25">
        <v>10</v>
      </c>
      <c r="B191" s="554" t="s">
        <v>707</v>
      </c>
      <c r="C191" s="553" t="s">
        <v>695</v>
      </c>
      <c r="D191" s="553" t="s">
        <v>694</v>
      </c>
      <c r="E191" s="556"/>
      <c r="F191" s="556"/>
    </row>
    <row r="192" spans="1:6" ht="12.75" hidden="1" customHeight="1" outlineLevel="1">
      <c r="B192" s="2" t="s">
        <v>384</v>
      </c>
      <c r="C192" s="552">
        <f>D192-D176</f>
        <v>-54746323.123175621</v>
      </c>
      <c r="D192" s="2">
        <v>4869807933.5160675</v>
      </c>
      <c r="E192" s="2"/>
      <c r="F192" s="2"/>
    </row>
    <row r="193" spans="1:6" ht="11.25" hidden="1" customHeight="1" outlineLevel="1">
      <c r="A193" s="2"/>
      <c r="B193" s="2" t="s">
        <v>17</v>
      </c>
      <c r="C193" s="551">
        <f>D193-D177</f>
        <v>0</v>
      </c>
      <c r="D193" s="2">
        <v>7.7399999999999997E-2</v>
      </c>
      <c r="E193" s="2"/>
      <c r="F193" s="2"/>
    </row>
    <row r="194" spans="1:6" ht="11.25" hidden="1" customHeight="1" outlineLevel="1">
      <c r="A194" s="2"/>
      <c r="B194" s="2"/>
      <c r="C194" s="2"/>
      <c r="D194" s="2"/>
      <c r="E194" s="2"/>
      <c r="F194" s="2"/>
    </row>
    <row r="195" spans="1:6" ht="11.25" hidden="1" customHeight="1" outlineLevel="1">
      <c r="A195" s="2"/>
      <c r="B195" s="2" t="s">
        <v>693</v>
      </c>
      <c r="C195" s="63">
        <f>D195-D179</f>
        <v>-4237365.4097337723</v>
      </c>
      <c r="D195" s="2">
        <v>376923134.05414361</v>
      </c>
      <c r="E195" s="2"/>
      <c r="F195" s="2"/>
    </row>
    <row r="196" spans="1:6" ht="11.25" hidden="1" customHeight="1" outlineLevel="1">
      <c r="A196" s="2"/>
      <c r="B196" s="2"/>
      <c r="C196" s="63"/>
      <c r="D196" s="2"/>
      <c r="E196" s="2"/>
      <c r="F196" s="2"/>
    </row>
    <row r="197" spans="1:6" ht="11.25" hidden="1" customHeight="1" outlineLevel="1">
      <c r="A197" s="2"/>
      <c r="B197" s="2" t="s">
        <v>692</v>
      </c>
      <c r="C197" s="63">
        <f>D197-D181</f>
        <v>-572920.27148413658</v>
      </c>
      <c r="D197" s="2">
        <v>345606267.69508028</v>
      </c>
      <c r="E197" s="2"/>
      <c r="F197" s="2"/>
    </row>
    <row r="198" spans="1:6" ht="11.25" hidden="1" customHeight="1" outlineLevel="1">
      <c r="A198" s="2"/>
      <c r="B198" s="2" t="s">
        <v>691</v>
      </c>
      <c r="C198" s="63">
        <f>D198-D182</f>
        <v>-3664445.1382496357</v>
      </c>
      <c r="D198" s="2">
        <v>31316866.859063327</v>
      </c>
      <c r="E198" s="2"/>
      <c r="F198" s="2"/>
    </row>
    <row r="199" spans="1:6" ht="11.25" hidden="1" customHeight="1" outlineLevel="1">
      <c r="A199" s="2"/>
      <c r="B199" s="2"/>
      <c r="C199" s="63"/>
      <c r="D199" s="2"/>
      <c r="E199" s="2"/>
      <c r="F199" s="2"/>
    </row>
    <row r="200" spans="1:6" ht="11.25" hidden="1" customHeight="1" outlineLevel="1">
      <c r="A200" s="2"/>
      <c r="B200" s="2" t="s">
        <v>690</v>
      </c>
      <c r="C200" s="63">
        <f>D200-D184</f>
        <v>0</v>
      </c>
      <c r="D200" s="2">
        <v>0.61905100000000002</v>
      </c>
      <c r="E200" s="2"/>
      <c r="F200" s="2"/>
    </row>
    <row r="201" spans="1:6" ht="11.25" hidden="1" customHeight="1" outlineLevel="1">
      <c r="A201" s="2"/>
      <c r="B201" s="2" t="s">
        <v>688</v>
      </c>
      <c r="C201" s="63">
        <f>D201-D185</f>
        <v>-5919456</v>
      </c>
      <c r="D201" s="2">
        <v>50588509</v>
      </c>
      <c r="E201" s="2"/>
      <c r="F201" s="2"/>
    </row>
    <row r="202" spans="1:6" ht="11.25" hidden="1" customHeight="1" outlineLevel="1">
      <c r="A202" s="2"/>
      <c r="B202" s="2" t="s">
        <v>689</v>
      </c>
      <c r="C202" s="63">
        <f>D202-D186</f>
        <v>0</v>
      </c>
      <c r="D202" s="2">
        <v>405142.80924519914</v>
      </c>
      <c r="E202" s="2"/>
      <c r="F202" s="2"/>
    </row>
    <row r="203" spans="1:6" ht="11.25" hidden="1" customHeight="1" outlineLevel="1">
      <c r="A203" s="2"/>
      <c r="B203" s="2"/>
      <c r="C203" s="63"/>
      <c r="D203" s="2"/>
      <c r="E203" s="2"/>
      <c r="F203" s="2"/>
    </row>
    <row r="204" spans="1:6" ht="11.25" hidden="1" customHeight="1" outlineLevel="1">
      <c r="A204" s="2"/>
      <c r="B204" s="2" t="s">
        <v>688</v>
      </c>
      <c r="C204" s="63">
        <f>D204-D188</f>
        <v>-5919456</v>
      </c>
      <c r="D204" s="2">
        <v>50183366.190754801</v>
      </c>
      <c r="E204" s="2"/>
      <c r="F204" s="2"/>
    </row>
    <row r="205" spans="1:6" ht="12.75" hidden="1" customHeight="1" outlineLevel="1"/>
    <row r="206" spans="1:6" ht="12.75" hidden="1" customHeight="1" outlineLevel="1"/>
    <row r="207" spans="1:6" ht="12.75" hidden="1" customHeight="1" outlineLevel="1">
      <c r="A207" s="25">
        <v>11</v>
      </c>
      <c r="B207" s="554" t="s">
        <v>706</v>
      </c>
      <c r="C207" s="553" t="s">
        <v>695</v>
      </c>
      <c r="D207" s="553" t="s">
        <v>694</v>
      </c>
      <c r="E207" s="556"/>
      <c r="F207" s="556"/>
    </row>
    <row r="208" spans="1:6" ht="12.75" hidden="1" customHeight="1" outlineLevel="1">
      <c r="B208" s="2" t="s">
        <v>384</v>
      </c>
      <c r="C208" s="552">
        <f>D208-D192</f>
        <v>-552786.58199977875</v>
      </c>
      <c r="D208" s="2">
        <v>4869255146.9340677</v>
      </c>
      <c r="E208" s="2"/>
      <c r="F208" s="2"/>
    </row>
    <row r="209" spans="1:6" ht="11.25" hidden="1" customHeight="1" outlineLevel="1">
      <c r="A209" s="2"/>
      <c r="B209" s="2" t="s">
        <v>17</v>
      </c>
      <c r="C209" s="551">
        <f>D209-D193</f>
        <v>0</v>
      </c>
      <c r="D209" s="2">
        <v>7.7399999999999997E-2</v>
      </c>
      <c r="E209" s="2"/>
      <c r="F209" s="2"/>
    </row>
    <row r="210" spans="1:6" ht="11.25" hidden="1" customHeight="1" outlineLevel="1">
      <c r="A210" s="2"/>
      <c r="B210" s="2"/>
      <c r="C210" s="2"/>
      <c r="D210" s="2"/>
      <c r="E210" s="2"/>
      <c r="F210" s="2"/>
    </row>
    <row r="211" spans="1:6" ht="11.25" hidden="1" customHeight="1" outlineLevel="1">
      <c r="A211" s="2"/>
      <c r="B211" s="2" t="s">
        <v>693</v>
      </c>
      <c r="C211" s="63">
        <f>D211-D195</f>
        <v>-42785.681446790695</v>
      </c>
      <c r="D211" s="2">
        <v>376880348.37269682</v>
      </c>
      <c r="E211" s="2"/>
      <c r="F211" s="2"/>
    </row>
    <row r="212" spans="1:6" ht="11.25" hidden="1" customHeight="1" outlineLevel="1">
      <c r="A212" s="2"/>
      <c r="B212" s="2"/>
      <c r="C212" s="63"/>
      <c r="D212" s="2"/>
      <c r="E212" s="2"/>
      <c r="F212" s="2"/>
    </row>
    <row r="213" spans="1:6" ht="11.25" hidden="1" customHeight="1" outlineLevel="1">
      <c r="A213" s="2"/>
      <c r="B213" s="2" t="s">
        <v>692</v>
      </c>
      <c r="C213" s="63">
        <f>D213-D197</f>
        <v>366103.55578970909</v>
      </c>
      <c r="D213" s="2">
        <v>345972371.25086999</v>
      </c>
      <c r="E213" s="2"/>
      <c r="F213" s="2"/>
    </row>
    <row r="214" spans="1:6" ht="11.25" hidden="1" customHeight="1" outlineLevel="1">
      <c r="A214" s="2"/>
      <c r="B214" s="2" t="s">
        <v>691</v>
      </c>
      <c r="C214" s="63">
        <f>D214-D198</f>
        <v>-408889.23723649979</v>
      </c>
      <c r="D214" s="2">
        <v>30907977.621826828</v>
      </c>
      <c r="E214" s="2"/>
      <c r="F214" s="2"/>
    </row>
    <row r="215" spans="1:6" ht="11.25" hidden="1" customHeight="1" outlineLevel="1">
      <c r="A215" s="2"/>
      <c r="B215" s="2"/>
      <c r="C215" s="63"/>
      <c r="D215" s="2"/>
      <c r="E215" s="2"/>
      <c r="F215" s="2"/>
    </row>
    <row r="216" spans="1:6" ht="11.25" hidden="1" customHeight="1" outlineLevel="1">
      <c r="A216" s="2"/>
      <c r="B216" s="2" t="s">
        <v>690</v>
      </c>
      <c r="C216" s="63">
        <f>D216-D200</f>
        <v>0</v>
      </c>
      <c r="D216" s="2">
        <v>0.61905100000000002</v>
      </c>
      <c r="E216" s="2"/>
      <c r="F216" s="2"/>
    </row>
    <row r="217" spans="1:6" ht="11.25" hidden="1" customHeight="1" outlineLevel="1">
      <c r="A217" s="2"/>
      <c r="B217" s="2" t="s">
        <v>688</v>
      </c>
      <c r="C217" s="63">
        <f>D217-D201</f>
        <v>-660510</v>
      </c>
      <c r="D217" s="2">
        <v>49927999</v>
      </c>
      <c r="E217" s="2"/>
      <c r="F217" s="2"/>
    </row>
    <row r="218" spans="1:6" ht="11.25" hidden="1" customHeight="1" outlineLevel="1">
      <c r="A218" s="2"/>
      <c r="B218" s="2" t="s">
        <v>689</v>
      </c>
      <c r="C218" s="63">
        <f>D218-D202</f>
        <v>0</v>
      </c>
      <c r="D218" s="2">
        <v>405142.80924519914</v>
      </c>
      <c r="E218" s="2"/>
      <c r="F218" s="2"/>
    </row>
    <row r="219" spans="1:6" ht="11.25" hidden="1" customHeight="1" outlineLevel="1">
      <c r="A219" s="2"/>
      <c r="B219" s="2"/>
      <c r="C219" s="63"/>
      <c r="D219" s="2"/>
      <c r="E219" s="2"/>
      <c r="F219" s="2"/>
    </row>
    <row r="220" spans="1:6" ht="11.25" hidden="1" customHeight="1" outlineLevel="1">
      <c r="A220" s="2"/>
      <c r="B220" s="2" t="s">
        <v>688</v>
      </c>
      <c r="C220" s="63">
        <f>D220-D204</f>
        <v>-660510</v>
      </c>
      <c r="D220" s="2">
        <v>49522856.190754801</v>
      </c>
      <c r="E220" s="2"/>
      <c r="F220" s="2"/>
    </row>
    <row r="221" spans="1:6" ht="12.75" hidden="1" customHeight="1" outlineLevel="1"/>
    <row r="222" spans="1:6" ht="12.75" hidden="1" customHeight="1" outlineLevel="1"/>
    <row r="223" spans="1:6" ht="12.75" hidden="1" customHeight="1" outlineLevel="1">
      <c r="A223" s="25">
        <v>12</v>
      </c>
      <c r="B223" s="554" t="s">
        <v>705</v>
      </c>
      <c r="C223" s="553" t="s">
        <v>695</v>
      </c>
      <c r="D223" s="553" t="s">
        <v>694</v>
      </c>
      <c r="E223" s="556"/>
      <c r="F223" s="556"/>
    </row>
    <row r="224" spans="1:6" ht="12.75" hidden="1" customHeight="1" outlineLevel="1">
      <c r="B224" s="2" t="s">
        <v>384</v>
      </c>
      <c r="C224" s="552">
        <f>D224-D208</f>
        <v>62280326.979849815</v>
      </c>
      <c r="D224" s="2">
        <v>4931535473.9139175</v>
      </c>
      <c r="E224" s="2"/>
      <c r="F224" s="2"/>
    </row>
    <row r="225" spans="1:6" ht="11.25" hidden="1" customHeight="1" outlineLevel="1">
      <c r="A225" s="2"/>
      <c r="B225" s="2" t="s">
        <v>17</v>
      </c>
      <c r="C225" s="551">
        <f>D225-D209</f>
        <v>0</v>
      </c>
      <c r="D225" s="2">
        <v>7.7399999999999997E-2</v>
      </c>
      <c r="E225" s="2"/>
      <c r="F225" s="2"/>
    </row>
    <row r="226" spans="1:6" ht="11.25" hidden="1" customHeight="1" outlineLevel="1">
      <c r="A226" s="2"/>
      <c r="B226" s="2"/>
      <c r="C226" s="2"/>
      <c r="D226" s="2"/>
      <c r="E226" s="2"/>
      <c r="F226" s="2"/>
    </row>
    <row r="227" spans="1:6" ht="11.25" hidden="1" customHeight="1" outlineLevel="1">
      <c r="A227" s="2"/>
      <c r="B227" s="2" t="s">
        <v>693</v>
      </c>
      <c r="C227" s="63">
        <f>D227-D211</f>
        <v>4820497.3082404137</v>
      </c>
      <c r="D227" s="2">
        <v>381700845.68093723</v>
      </c>
      <c r="E227" s="2"/>
      <c r="F227" s="2"/>
    </row>
    <row r="228" spans="1:6" ht="11.25" hidden="1" customHeight="1" outlineLevel="1">
      <c r="A228" s="2"/>
      <c r="B228" s="2"/>
      <c r="C228" s="63"/>
      <c r="D228" s="2"/>
      <c r="E228" s="2"/>
      <c r="F228" s="2"/>
    </row>
    <row r="229" spans="1:6" ht="11.25" hidden="1" customHeight="1" outlineLevel="1">
      <c r="A229" s="2"/>
      <c r="B229" s="2" t="s">
        <v>692</v>
      </c>
      <c r="C229" s="63">
        <f>D229-D213</f>
        <v>1219669.4551773071</v>
      </c>
      <c r="D229" s="2">
        <v>347192040.7060473</v>
      </c>
      <c r="E229" s="2"/>
      <c r="F229" s="2"/>
    </row>
    <row r="230" spans="1:6" ht="11.25" hidden="1" customHeight="1" outlineLevel="1">
      <c r="A230" s="2"/>
      <c r="B230" s="2" t="s">
        <v>691</v>
      </c>
      <c r="C230" s="63">
        <f>D230-D214</f>
        <v>3600827.8530631065</v>
      </c>
      <c r="D230" s="2">
        <v>34508805.474889934</v>
      </c>
      <c r="E230" s="2"/>
      <c r="F230" s="2"/>
    </row>
    <row r="231" spans="1:6" ht="11.25" hidden="1" customHeight="1" outlineLevel="1">
      <c r="A231" s="2"/>
      <c r="B231" s="2"/>
      <c r="C231" s="63"/>
      <c r="D231" s="2"/>
      <c r="E231" s="2"/>
      <c r="F231" s="2"/>
    </row>
    <row r="232" spans="1:6" ht="11.25" hidden="1" customHeight="1" outlineLevel="1">
      <c r="A232" s="2"/>
      <c r="B232" s="2" t="s">
        <v>690</v>
      </c>
      <c r="C232" s="63">
        <f>D232-D216</f>
        <v>0</v>
      </c>
      <c r="D232" s="2">
        <v>0.61905100000000002</v>
      </c>
      <c r="E232" s="2"/>
      <c r="F232" s="2"/>
    </row>
    <row r="233" spans="1:6" ht="11.25" hidden="1" customHeight="1" outlineLevel="1">
      <c r="A233" s="2"/>
      <c r="B233" s="2" t="s">
        <v>688</v>
      </c>
      <c r="C233" s="63">
        <f>D233-D217</f>
        <v>5816690</v>
      </c>
      <c r="D233" s="2">
        <v>55744689</v>
      </c>
      <c r="E233" s="2"/>
      <c r="F233" s="2"/>
    </row>
    <row r="234" spans="1:6" ht="11.25" hidden="1" customHeight="1" outlineLevel="1">
      <c r="A234" s="2"/>
      <c r="B234" s="2" t="s">
        <v>689</v>
      </c>
      <c r="C234" s="63">
        <f>D234-D218</f>
        <v>0</v>
      </c>
      <c r="D234" s="2">
        <v>405142.80924519914</v>
      </c>
      <c r="E234" s="2"/>
      <c r="F234" s="2"/>
    </row>
    <row r="235" spans="1:6" ht="11.25" hidden="1" customHeight="1" outlineLevel="1">
      <c r="A235" s="2"/>
      <c r="B235" s="2"/>
      <c r="C235" s="63"/>
      <c r="D235" s="2"/>
      <c r="E235" s="2"/>
      <c r="F235" s="2"/>
    </row>
    <row r="236" spans="1:6" ht="11.25" hidden="1" customHeight="1" outlineLevel="1">
      <c r="A236" s="2"/>
      <c r="B236" s="2" t="s">
        <v>688</v>
      </c>
      <c r="C236" s="63">
        <f>D236-D220</f>
        <v>5816690</v>
      </c>
      <c r="D236" s="2">
        <v>55339546.190754801</v>
      </c>
      <c r="E236" s="2"/>
      <c r="F236" s="2"/>
    </row>
    <row r="237" spans="1:6" ht="12.75" hidden="1" customHeight="1" outlineLevel="1"/>
    <row r="238" spans="1:6" ht="12.75" hidden="1" customHeight="1" outlineLevel="1"/>
    <row r="239" spans="1:6" ht="12.75" hidden="1" customHeight="1" outlineLevel="1">
      <c r="A239" s="25">
        <v>13</v>
      </c>
      <c r="B239" s="554" t="s">
        <v>704</v>
      </c>
      <c r="C239" s="553" t="s">
        <v>695</v>
      </c>
      <c r="D239" s="553" t="s">
        <v>694</v>
      </c>
      <c r="E239" s="556"/>
      <c r="F239" s="556"/>
    </row>
    <row r="240" spans="1:6" ht="12.75" hidden="1" customHeight="1" outlineLevel="1">
      <c r="B240" s="2" t="s">
        <v>384</v>
      </c>
      <c r="C240" s="552">
        <f>D240-D224</f>
        <v>0</v>
      </c>
      <c r="D240" s="2">
        <v>4931535473.9139175</v>
      </c>
      <c r="E240" s="2"/>
      <c r="F240" s="2"/>
    </row>
    <row r="241" spans="1:6" ht="11.25" hidden="1" customHeight="1" outlineLevel="1">
      <c r="A241" s="2"/>
      <c r="B241" s="2" t="s">
        <v>17</v>
      </c>
      <c r="C241" s="551">
        <f>D241-D225</f>
        <v>0</v>
      </c>
      <c r="D241" s="2">
        <v>7.7399999999999997E-2</v>
      </c>
      <c r="E241" s="2"/>
      <c r="F241" s="2"/>
    </row>
    <row r="242" spans="1:6" ht="11.25" hidden="1" customHeight="1" outlineLevel="1">
      <c r="A242" s="2"/>
      <c r="B242" s="2"/>
      <c r="C242" s="2"/>
      <c r="D242" s="2"/>
      <c r="E242" s="2"/>
      <c r="F242" s="2"/>
    </row>
    <row r="243" spans="1:6" ht="11.25" hidden="1" customHeight="1" outlineLevel="1">
      <c r="A243" s="2"/>
      <c r="B243" s="2" t="s">
        <v>693</v>
      </c>
      <c r="C243" s="63">
        <f>D243-D227</f>
        <v>0</v>
      </c>
      <c r="D243" s="2">
        <v>381700845.68093723</v>
      </c>
      <c r="E243" s="2"/>
      <c r="F243" s="2"/>
    </row>
    <row r="244" spans="1:6" ht="11.25" hidden="1" customHeight="1" outlineLevel="1">
      <c r="A244" s="2"/>
      <c r="B244" s="2"/>
      <c r="C244" s="63"/>
      <c r="D244" s="2"/>
      <c r="E244" s="2"/>
      <c r="F244" s="2"/>
    </row>
    <row r="245" spans="1:6" ht="11.25" hidden="1" customHeight="1" outlineLevel="1">
      <c r="A245" s="2"/>
      <c r="B245" s="2" t="s">
        <v>692</v>
      </c>
      <c r="C245" s="63">
        <f>D245-D229</f>
        <v>2030252.1536164284</v>
      </c>
      <c r="D245" s="2">
        <v>349222292.85966372</v>
      </c>
      <c r="E245" s="2"/>
      <c r="F245" s="2"/>
    </row>
    <row r="246" spans="1:6" ht="11.25" hidden="1" customHeight="1" outlineLevel="1">
      <c r="A246" s="2"/>
      <c r="B246" s="2" t="s">
        <v>691</v>
      </c>
      <c r="C246" s="63">
        <f>D246-D230</f>
        <v>-2030252.1536164284</v>
      </c>
      <c r="D246" s="2">
        <v>32478553.321273506</v>
      </c>
      <c r="E246" s="2"/>
      <c r="F246" s="2"/>
    </row>
    <row r="247" spans="1:6" ht="11.25" hidden="1" customHeight="1" outlineLevel="1">
      <c r="A247" s="2"/>
      <c r="B247" s="2"/>
      <c r="C247" s="63"/>
      <c r="D247" s="2"/>
      <c r="E247" s="2"/>
      <c r="F247" s="2"/>
    </row>
    <row r="248" spans="1:6" ht="11.25" hidden="1" customHeight="1" outlineLevel="1">
      <c r="A248" s="2"/>
      <c r="B248" s="2" t="s">
        <v>690</v>
      </c>
      <c r="C248" s="63">
        <f>D248-D232</f>
        <v>0</v>
      </c>
      <c r="D248" s="2">
        <v>0.61905100000000002</v>
      </c>
      <c r="E248" s="2"/>
      <c r="F248" s="2"/>
    </row>
    <row r="249" spans="1:6" ht="11.25" hidden="1" customHeight="1" outlineLevel="1">
      <c r="A249" s="2"/>
      <c r="B249" s="2" t="s">
        <v>688</v>
      </c>
      <c r="C249" s="63">
        <f>D249-D233</f>
        <v>-3279620</v>
      </c>
      <c r="D249" s="2">
        <v>52465069</v>
      </c>
      <c r="E249" s="2"/>
      <c r="F249" s="2"/>
    </row>
    <row r="250" spans="1:6" ht="11.25" hidden="1" customHeight="1" outlineLevel="1">
      <c r="A250" s="2"/>
      <c r="B250" s="2" t="s">
        <v>689</v>
      </c>
      <c r="C250" s="63">
        <f>D250-D234</f>
        <v>0</v>
      </c>
      <c r="D250" s="2">
        <v>405142.80924519914</v>
      </c>
      <c r="E250" s="2"/>
      <c r="F250" s="2"/>
    </row>
    <row r="251" spans="1:6" ht="11.25" hidden="1" customHeight="1" outlineLevel="1">
      <c r="A251" s="2"/>
      <c r="B251" s="2"/>
      <c r="C251" s="63"/>
      <c r="D251" s="2"/>
      <c r="E251" s="2"/>
      <c r="F251" s="2"/>
    </row>
    <row r="252" spans="1:6" ht="11.25" hidden="1" customHeight="1" outlineLevel="1">
      <c r="A252" s="2"/>
      <c r="B252" s="2" t="s">
        <v>688</v>
      </c>
      <c r="C252" s="63">
        <f>D252-D236</f>
        <v>-3279620</v>
      </c>
      <c r="D252" s="2">
        <v>52059926.190754801</v>
      </c>
      <c r="E252" s="2"/>
      <c r="F252" s="2"/>
    </row>
    <row r="253" spans="1:6" ht="12.75" hidden="1" customHeight="1" outlineLevel="1"/>
    <row r="254" spans="1:6" ht="12.75" hidden="1" customHeight="1" outlineLevel="1"/>
    <row r="255" spans="1:6" ht="12.75" hidden="1" customHeight="1" outlineLevel="1">
      <c r="A255" s="25">
        <v>14</v>
      </c>
      <c r="B255" s="554" t="s">
        <v>703</v>
      </c>
      <c r="C255" s="553" t="s">
        <v>695</v>
      </c>
      <c r="D255" s="553" t="s">
        <v>694</v>
      </c>
      <c r="E255" s="556"/>
      <c r="F255" s="556"/>
    </row>
    <row r="256" spans="1:6" ht="12.75" hidden="1" customHeight="1" outlineLevel="1">
      <c r="B256" s="2" t="s">
        <v>384</v>
      </c>
      <c r="C256" s="552">
        <f>D256-D240</f>
        <v>0</v>
      </c>
      <c r="D256" s="2">
        <v>4931535473.9139175</v>
      </c>
      <c r="E256" s="2"/>
      <c r="F256" s="2"/>
    </row>
    <row r="257" spans="1:9" ht="11.25" hidden="1" customHeight="1" outlineLevel="1">
      <c r="A257" s="2"/>
      <c r="B257" s="2" t="s">
        <v>17</v>
      </c>
      <c r="C257" s="551">
        <f>D257-D241</f>
        <v>0</v>
      </c>
      <c r="D257" s="2">
        <v>7.7399999999999997E-2</v>
      </c>
      <c r="E257" s="2"/>
      <c r="F257" s="2"/>
    </row>
    <row r="258" spans="1:9" ht="11.25" hidden="1" customHeight="1" outlineLevel="1">
      <c r="A258" s="2"/>
      <c r="B258" s="2"/>
      <c r="C258" s="2"/>
      <c r="D258" s="2"/>
      <c r="E258" s="2"/>
      <c r="F258" s="2"/>
    </row>
    <row r="259" spans="1:9" ht="11.25" hidden="1" customHeight="1" outlineLevel="1">
      <c r="A259" s="2"/>
      <c r="B259" s="2" t="s">
        <v>693</v>
      </c>
      <c r="C259" s="63">
        <f>D259-D243</f>
        <v>0</v>
      </c>
      <c r="D259" s="2">
        <v>381700845.68093723</v>
      </c>
      <c r="E259" s="2"/>
      <c r="F259" s="2"/>
    </row>
    <row r="260" spans="1:9" ht="11.25" hidden="1" customHeight="1" outlineLevel="1">
      <c r="A260" s="2"/>
      <c r="B260" s="2"/>
      <c r="C260" s="63"/>
      <c r="D260" s="2"/>
      <c r="E260" s="2"/>
      <c r="F260" s="2"/>
    </row>
    <row r="261" spans="1:9" ht="11.25" hidden="1" customHeight="1" outlineLevel="1">
      <c r="A261" s="2"/>
      <c r="B261" s="2" t="s">
        <v>692</v>
      </c>
      <c r="C261" s="63">
        <f>D261-D245</f>
        <v>315757.00000023842</v>
      </c>
      <c r="D261" s="2">
        <v>349538049.85966396</v>
      </c>
      <c r="E261" s="2"/>
      <c r="F261" s="2"/>
    </row>
    <row r="262" spans="1:9" ht="11.25" hidden="1" customHeight="1" outlineLevel="1">
      <c r="A262" s="2"/>
      <c r="B262" s="2" t="s">
        <v>691</v>
      </c>
      <c r="C262" s="63">
        <f>D262-D246</f>
        <v>-315757.00000023842</v>
      </c>
      <c r="D262" s="2">
        <v>32162796.321273267</v>
      </c>
      <c r="E262" s="2"/>
      <c r="F262" s="2"/>
    </row>
    <row r="263" spans="1:9" ht="11.25" hidden="1" customHeight="1" outlineLevel="1">
      <c r="A263" s="2"/>
      <c r="B263" s="2"/>
      <c r="C263" s="63"/>
      <c r="D263" s="2"/>
      <c r="E263" s="2"/>
      <c r="F263" s="2"/>
    </row>
    <row r="264" spans="1:9" ht="11.25" hidden="1" customHeight="1" outlineLevel="1">
      <c r="A264" s="2"/>
      <c r="B264" s="2" t="s">
        <v>690</v>
      </c>
      <c r="C264" s="63">
        <f>D264-D248</f>
        <v>0</v>
      </c>
      <c r="D264" s="2">
        <v>0.61905100000000002</v>
      </c>
      <c r="E264" s="2"/>
      <c r="F264" s="2"/>
    </row>
    <row r="265" spans="1:9" ht="11.25" hidden="1" customHeight="1" outlineLevel="1">
      <c r="A265" s="2"/>
      <c r="B265" s="2" t="s">
        <v>688</v>
      </c>
      <c r="C265" s="63">
        <f>D265-D249</f>
        <v>-510066</v>
      </c>
      <c r="D265" s="2">
        <v>51955003</v>
      </c>
      <c r="E265" s="2"/>
      <c r="F265" s="2"/>
    </row>
    <row r="266" spans="1:9" ht="11.25" hidden="1" customHeight="1" outlineLevel="1">
      <c r="A266" s="2"/>
      <c r="B266" s="2" t="s">
        <v>689</v>
      </c>
      <c r="C266" s="63">
        <f>D266-D250</f>
        <v>0</v>
      </c>
      <c r="D266" s="2">
        <v>405142.80924519914</v>
      </c>
      <c r="E266" s="2"/>
      <c r="F266" s="2"/>
    </row>
    <row r="267" spans="1:9" ht="11.25" hidden="1" customHeight="1" outlineLevel="1">
      <c r="A267" s="2"/>
      <c r="B267" s="2"/>
      <c r="C267" s="63"/>
      <c r="D267" s="2"/>
      <c r="E267" s="2"/>
      <c r="F267" s="2"/>
    </row>
    <row r="268" spans="1:9" ht="11.25" hidden="1" customHeight="1" outlineLevel="1">
      <c r="A268" s="2"/>
      <c r="B268" s="2" t="s">
        <v>688</v>
      </c>
      <c r="C268" s="63">
        <f>D268-D252</f>
        <v>-510066</v>
      </c>
      <c r="D268" s="2">
        <v>51549860.190754801</v>
      </c>
      <c r="E268" s="2"/>
      <c r="F268" s="2"/>
    </row>
    <row r="269" spans="1:9" ht="12.75" hidden="1" customHeight="1" outlineLevel="1"/>
    <row r="270" spans="1:9" ht="12.75" hidden="1" customHeight="1" outlineLevel="1"/>
    <row r="271" spans="1:9" ht="12.75" hidden="1" customHeight="1" outlineLevel="1">
      <c r="A271" s="25">
        <v>15</v>
      </c>
      <c r="B271" s="554" t="s">
        <v>702</v>
      </c>
      <c r="C271" s="553" t="s">
        <v>695</v>
      </c>
      <c r="D271" s="553" t="s">
        <v>694</v>
      </c>
      <c r="E271" s="556"/>
      <c r="F271" s="556"/>
    </row>
    <row r="272" spans="1:9" ht="12.75" hidden="1" customHeight="1" outlineLevel="1">
      <c r="B272" s="2" t="s">
        <v>384</v>
      </c>
      <c r="C272" s="552">
        <f>D272-D256</f>
        <v>0</v>
      </c>
      <c r="D272" s="2">
        <v>4931535473.9139175</v>
      </c>
      <c r="E272" s="2"/>
      <c r="F272" s="2"/>
      <c r="I272" s="10"/>
    </row>
    <row r="273" spans="1:9" ht="11.25" hidden="1" customHeight="1" outlineLevel="1">
      <c r="A273" s="2"/>
      <c r="B273" s="2" t="s">
        <v>17</v>
      </c>
      <c r="C273" s="551">
        <f>D273-D257</f>
        <v>-3.699999999999995E-3</v>
      </c>
      <c r="D273" s="2">
        <v>7.3700000000000002E-2</v>
      </c>
      <c r="E273" s="2"/>
      <c r="F273" s="2"/>
      <c r="I273" s="10"/>
    </row>
    <row r="274" spans="1:9" ht="11.25" hidden="1" customHeight="1" outlineLevel="1">
      <c r="A274" s="2"/>
      <c r="B274" s="2"/>
      <c r="C274" s="2"/>
      <c r="D274" s="2"/>
      <c r="E274" s="2"/>
      <c r="F274" s="2"/>
      <c r="I274" s="10"/>
    </row>
    <row r="275" spans="1:9" ht="11.25" hidden="1" customHeight="1" outlineLevel="1">
      <c r="A275" s="2"/>
      <c r="B275" s="2" t="s">
        <v>693</v>
      </c>
      <c r="C275" s="63">
        <f>D275-D259</f>
        <v>-18246681.253481507</v>
      </c>
      <c r="D275" s="2">
        <v>363454164.42745572</v>
      </c>
      <c r="E275" s="2"/>
      <c r="F275" s="2"/>
      <c r="I275" s="10"/>
    </row>
    <row r="276" spans="1:9" ht="11.25" hidden="1" customHeight="1" outlineLevel="1">
      <c r="A276" s="2"/>
      <c r="B276" s="2"/>
      <c r="C276" s="63"/>
      <c r="D276" s="2"/>
      <c r="E276" s="2"/>
      <c r="F276" s="2"/>
      <c r="I276" s="10"/>
    </row>
    <row r="277" spans="1:9" ht="11.25" hidden="1" customHeight="1" outlineLevel="1">
      <c r="A277" s="2"/>
      <c r="B277" s="2" t="s">
        <v>692</v>
      </c>
      <c r="C277" s="63">
        <f>D277-D261</f>
        <v>-690414.96634793282</v>
      </c>
      <c r="D277" s="2">
        <v>348847634.89331603</v>
      </c>
      <c r="E277" s="2"/>
      <c r="F277" s="2"/>
      <c r="I277" s="10"/>
    </row>
    <row r="278" spans="1:9" ht="11.25" hidden="1" customHeight="1" outlineLevel="1">
      <c r="A278" s="2"/>
      <c r="B278" s="2" t="s">
        <v>691</v>
      </c>
      <c r="C278" s="63">
        <f>D278-D262</f>
        <v>-17556266.787133574</v>
      </c>
      <c r="D278" s="2">
        <v>14606529.534139693</v>
      </c>
      <c r="E278" s="2"/>
      <c r="F278" s="2"/>
      <c r="I278" s="10"/>
    </row>
    <row r="279" spans="1:9" ht="11.25" hidden="1" customHeight="1" outlineLevel="1">
      <c r="A279" s="2"/>
      <c r="B279" s="2"/>
      <c r="C279" s="63"/>
      <c r="D279" s="2"/>
      <c r="E279" s="2"/>
      <c r="F279" s="2"/>
      <c r="I279" s="10"/>
    </row>
    <row r="280" spans="1:9" ht="11.25" hidden="1" customHeight="1" outlineLevel="1">
      <c r="A280" s="2"/>
      <c r="B280" s="2" t="s">
        <v>690</v>
      </c>
      <c r="C280" s="63">
        <f>D280-D264</f>
        <v>0</v>
      </c>
      <c r="D280" s="2">
        <v>0.61905100000000002</v>
      </c>
      <c r="E280" s="2"/>
      <c r="F280" s="2"/>
      <c r="I280" s="10"/>
    </row>
    <row r="281" spans="1:9" ht="11.25" hidden="1" customHeight="1" outlineLevel="1">
      <c r="A281" s="2"/>
      <c r="B281" s="2" t="s">
        <v>688</v>
      </c>
      <c r="C281" s="63">
        <f>D281-D265</f>
        <v>-28359969</v>
      </c>
      <c r="D281" s="2">
        <v>23595034</v>
      </c>
      <c r="E281" s="2"/>
      <c r="F281" s="2"/>
      <c r="I281" s="10"/>
    </row>
    <row r="282" spans="1:9" ht="11.25" hidden="1" customHeight="1" outlineLevel="1">
      <c r="A282" s="2"/>
      <c r="B282" s="2" t="s">
        <v>689</v>
      </c>
      <c r="C282" s="63">
        <f>D282-D266</f>
        <v>0</v>
      </c>
      <c r="D282" s="2">
        <v>405142.80924519914</v>
      </c>
      <c r="E282" s="2"/>
      <c r="F282" s="2"/>
      <c r="I282" s="10"/>
    </row>
    <row r="283" spans="1:9" ht="11.25" hidden="1" customHeight="1" outlineLevel="1">
      <c r="A283" s="2"/>
      <c r="B283" s="2"/>
      <c r="C283" s="63"/>
      <c r="D283" s="2"/>
      <c r="E283" s="2"/>
      <c r="F283" s="2"/>
      <c r="I283" s="10"/>
    </row>
    <row r="284" spans="1:9" ht="11.25" hidden="1" customHeight="1" outlineLevel="1">
      <c r="A284" s="2"/>
      <c r="B284" s="2" t="s">
        <v>688</v>
      </c>
      <c r="C284" s="63">
        <f>D284-D268</f>
        <v>-28359969</v>
      </c>
      <c r="D284" s="2">
        <v>23189891.190754801</v>
      </c>
      <c r="E284" s="2"/>
      <c r="F284" s="2"/>
      <c r="I284" s="10"/>
    </row>
    <row r="285" spans="1:9" ht="12.75" hidden="1" customHeight="1" outlineLevel="1">
      <c r="I285" s="10"/>
    </row>
    <row r="286" spans="1:9" ht="12.75" hidden="1" customHeight="1" outlineLevel="1"/>
    <row r="287" spans="1:9" ht="12.75" hidden="1" customHeight="1" outlineLevel="1">
      <c r="A287" s="25">
        <v>16</v>
      </c>
      <c r="B287" s="554" t="s">
        <v>701</v>
      </c>
      <c r="C287" s="553" t="s">
        <v>695</v>
      </c>
      <c r="D287" s="553" t="s">
        <v>694</v>
      </c>
      <c r="E287" s="556"/>
      <c r="F287" s="556"/>
    </row>
    <row r="288" spans="1:9" ht="12.75" hidden="1" customHeight="1" outlineLevel="1">
      <c r="B288" s="2" t="s">
        <v>384</v>
      </c>
      <c r="C288" s="552">
        <f>D288-D272</f>
        <v>279304.46910190582</v>
      </c>
      <c r="D288" s="2">
        <v>4931814778.3830194</v>
      </c>
      <c r="E288" s="2"/>
      <c r="F288" s="2"/>
    </row>
    <row r="289" spans="1:6" ht="11.25" hidden="1" customHeight="1" outlineLevel="1">
      <c r="A289" s="2"/>
      <c r="B289" s="2" t="s">
        <v>17</v>
      </c>
      <c r="C289" s="551">
        <f>D289-D273</f>
        <v>0</v>
      </c>
      <c r="D289" s="2">
        <v>7.3700000000000002E-2</v>
      </c>
      <c r="E289" s="2"/>
      <c r="F289" s="2"/>
    </row>
    <row r="290" spans="1:6" ht="11.25" hidden="1" customHeight="1" outlineLevel="1">
      <c r="A290" s="2"/>
      <c r="B290" s="2"/>
      <c r="C290" s="2"/>
      <c r="D290" s="2"/>
      <c r="E290" s="2"/>
      <c r="F290" s="2"/>
    </row>
    <row r="291" spans="1:6" ht="11.25" hidden="1" customHeight="1" outlineLevel="1">
      <c r="A291" s="2"/>
      <c r="B291" s="2" t="s">
        <v>693</v>
      </c>
      <c r="C291" s="63">
        <f>D291-D275</f>
        <v>20584.73937278986</v>
      </c>
      <c r="D291" s="2">
        <v>363474749.16682851</v>
      </c>
      <c r="E291" s="2"/>
      <c r="F291" s="2"/>
    </row>
    <row r="292" spans="1:6" ht="11.25" hidden="1" customHeight="1" outlineLevel="1">
      <c r="A292" s="2"/>
      <c r="B292" s="2"/>
      <c r="C292" s="63"/>
      <c r="D292" s="2"/>
      <c r="E292" s="2"/>
      <c r="F292" s="2"/>
    </row>
    <row r="293" spans="1:6" ht="11.25" hidden="1" customHeight="1" outlineLevel="1">
      <c r="A293" s="2"/>
      <c r="B293" s="2" t="s">
        <v>692</v>
      </c>
      <c r="C293" s="63">
        <f>D293-D277</f>
        <v>2883.8186433315277</v>
      </c>
      <c r="D293" s="2">
        <v>348850518.71195936</v>
      </c>
      <c r="E293" s="2"/>
      <c r="F293" s="2"/>
    </row>
    <row r="294" spans="1:6" ht="11.25" hidden="1" customHeight="1" outlineLevel="1">
      <c r="A294" s="2"/>
      <c r="B294" s="2" t="s">
        <v>691</v>
      </c>
      <c r="C294" s="63">
        <f>D294-D278</f>
        <v>17700.920729458332</v>
      </c>
      <c r="D294" s="2">
        <v>14624230.454869151</v>
      </c>
      <c r="E294" s="2"/>
      <c r="F294" s="2"/>
    </row>
    <row r="295" spans="1:6" ht="11.25" hidden="1" customHeight="1" outlineLevel="1">
      <c r="A295" s="2"/>
      <c r="B295" s="2"/>
      <c r="C295" s="63"/>
      <c r="D295" s="2"/>
      <c r="E295" s="2"/>
      <c r="F295" s="2"/>
    </row>
    <row r="296" spans="1:6" ht="11.25" hidden="1" customHeight="1" outlineLevel="1">
      <c r="A296" s="2"/>
      <c r="B296" s="2" t="s">
        <v>690</v>
      </c>
      <c r="C296" s="63">
        <f>D296-D280</f>
        <v>0</v>
      </c>
      <c r="D296" s="2">
        <v>0.61905100000000002</v>
      </c>
      <c r="E296" s="2"/>
      <c r="F296" s="2"/>
    </row>
    <row r="297" spans="1:6" ht="11.25" hidden="1" customHeight="1" outlineLevel="1">
      <c r="A297" s="2"/>
      <c r="B297" s="2" t="s">
        <v>688</v>
      </c>
      <c r="C297" s="63">
        <f>D297-D281</f>
        <v>28594</v>
      </c>
      <c r="D297" s="2">
        <v>23623628</v>
      </c>
      <c r="E297" s="2"/>
      <c r="F297" s="2"/>
    </row>
    <row r="298" spans="1:6" ht="11.25" hidden="1" customHeight="1" outlineLevel="1">
      <c r="A298" s="2"/>
      <c r="B298" s="2" t="s">
        <v>689</v>
      </c>
      <c r="C298" s="63">
        <f>D298-D282</f>
        <v>0</v>
      </c>
      <c r="D298" s="2">
        <v>405142.80924519914</v>
      </c>
      <c r="E298" s="2"/>
      <c r="F298" s="2"/>
    </row>
    <row r="299" spans="1:6" ht="11.25" hidden="1" customHeight="1" outlineLevel="1">
      <c r="A299" s="2"/>
      <c r="B299" s="2"/>
      <c r="C299" s="63"/>
      <c r="D299" s="2"/>
      <c r="E299" s="2"/>
      <c r="F299" s="2"/>
    </row>
    <row r="300" spans="1:6" ht="11.25" hidden="1" customHeight="1" outlineLevel="1">
      <c r="A300" s="2"/>
      <c r="B300" s="2" t="s">
        <v>688</v>
      </c>
      <c r="C300" s="63">
        <f>D300-D284</f>
        <v>28594</v>
      </c>
      <c r="D300" s="2">
        <v>23218485.190754801</v>
      </c>
      <c r="E300" s="2"/>
      <c r="F300" s="2"/>
    </row>
    <row r="301" spans="1:6" ht="12.75" hidden="1" customHeight="1" outlineLevel="1"/>
    <row r="302" spans="1:6" ht="12.75" hidden="1" customHeight="1" outlineLevel="1"/>
    <row r="303" spans="1:6" ht="12.75" hidden="1" customHeight="1" outlineLevel="1">
      <c r="A303" s="25">
        <v>17</v>
      </c>
      <c r="B303" s="554" t="s">
        <v>700</v>
      </c>
      <c r="C303" s="553" t="s">
        <v>695</v>
      </c>
      <c r="D303" s="553" t="s">
        <v>694</v>
      </c>
      <c r="E303" s="556"/>
      <c r="F303" s="556"/>
    </row>
    <row r="304" spans="1:6" ht="12.75" hidden="1" customHeight="1" outlineLevel="1">
      <c r="B304" s="2" t="s">
        <v>384</v>
      </c>
      <c r="C304" s="552">
        <f>D304-D288</f>
        <v>0</v>
      </c>
      <c r="D304" s="2">
        <v>4931814778.3830194</v>
      </c>
      <c r="E304" s="2"/>
      <c r="F304" s="2"/>
    </row>
    <row r="305" spans="1:6" ht="11.25" hidden="1" customHeight="1" outlineLevel="1">
      <c r="A305" s="2"/>
      <c r="B305" s="2" t="s">
        <v>17</v>
      </c>
      <c r="C305" s="551">
        <f>D305-D289</f>
        <v>0</v>
      </c>
      <c r="D305" s="2">
        <v>7.3700000000000002E-2</v>
      </c>
      <c r="E305" s="2"/>
      <c r="F305" s="2"/>
    </row>
    <row r="306" spans="1:6" ht="11.25" hidden="1" customHeight="1" outlineLevel="1">
      <c r="A306" s="2"/>
      <c r="B306" s="2"/>
      <c r="C306" s="2"/>
      <c r="D306" s="2"/>
      <c r="E306" s="2"/>
      <c r="F306" s="2"/>
    </row>
    <row r="307" spans="1:6" ht="11.25" hidden="1" customHeight="1" outlineLevel="1">
      <c r="A307" s="2"/>
      <c r="B307" s="2" t="s">
        <v>693</v>
      </c>
      <c r="C307" s="63">
        <f>D307-D291</f>
        <v>0</v>
      </c>
      <c r="D307" s="2">
        <v>363474749.16682851</v>
      </c>
      <c r="E307" s="2"/>
      <c r="F307" s="2"/>
    </row>
    <row r="308" spans="1:6" ht="11.25" hidden="1" customHeight="1" outlineLevel="1">
      <c r="A308" s="2"/>
      <c r="B308" s="2"/>
      <c r="C308" s="63"/>
      <c r="D308" s="2"/>
      <c r="E308" s="2"/>
      <c r="F308" s="2"/>
    </row>
    <row r="309" spans="1:6" ht="11.25" hidden="1" customHeight="1" outlineLevel="1">
      <c r="A309" s="2"/>
      <c r="B309" s="2" t="s">
        <v>692</v>
      </c>
      <c r="C309" s="63">
        <f>D309-D293</f>
        <v>41259.434436798096</v>
      </c>
      <c r="D309" s="2">
        <v>348891778.14639616</v>
      </c>
      <c r="E309" s="2"/>
      <c r="F309" s="2"/>
    </row>
    <row r="310" spans="1:6" ht="11.25" hidden="1" customHeight="1" outlineLevel="1">
      <c r="A310" s="2"/>
      <c r="B310" s="2" t="s">
        <v>691</v>
      </c>
      <c r="C310" s="63">
        <f>D310-D294</f>
        <v>-41259.434436798096</v>
      </c>
      <c r="D310" s="2">
        <v>14582971.020432353</v>
      </c>
      <c r="E310" s="2"/>
      <c r="F310" s="2"/>
    </row>
    <row r="311" spans="1:6" ht="11.25" hidden="1" customHeight="1" outlineLevel="1">
      <c r="A311" s="2"/>
      <c r="B311" s="2"/>
      <c r="C311" s="63"/>
      <c r="D311" s="2"/>
      <c r="E311" s="2"/>
      <c r="F311" s="2"/>
    </row>
    <row r="312" spans="1:6" ht="11.25" hidden="1" customHeight="1" outlineLevel="1">
      <c r="A312" s="2"/>
      <c r="B312" s="2" t="s">
        <v>690</v>
      </c>
      <c r="C312" s="63">
        <f>D312-D296</f>
        <v>0</v>
      </c>
      <c r="D312" s="2">
        <v>0.61905100000000002</v>
      </c>
      <c r="E312" s="2"/>
      <c r="F312" s="2"/>
    </row>
    <row r="313" spans="1:6" ht="11.25" hidden="1" customHeight="1" outlineLevel="1">
      <c r="A313" s="2"/>
      <c r="B313" s="2" t="s">
        <v>688</v>
      </c>
      <c r="C313" s="63">
        <f>D313-D297</f>
        <v>-66650</v>
      </c>
      <c r="D313" s="2">
        <v>23556978</v>
      </c>
      <c r="E313" s="2"/>
      <c r="F313" s="2"/>
    </row>
    <row r="314" spans="1:6" ht="11.25" hidden="1" customHeight="1" outlineLevel="1">
      <c r="A314" s="2"/>
      <c r="B314" s="2" t="s">
        <v>689</v>
      </c>
      <c r="C314" s="63">
        <f>D314-D298</f>
        <v>0</v>
      </c>
      <c r="D314" s="2">
        <v>405142.80924519914</v>
      </c>
      <c r="E314" s="2"/>
      <c r="F314" s="2"/>
    </row>
    <row r="315" spans="1:6" ht="11.25" hidden="1" customHeight="1" outlineLevel="1">
      <c r="A315" s="2"/>
      <c r="B315" s="2"/>
      <c r="C315" s="63"/>
      <c r="D315" s="2"/>
      <c r="E315" s="2"/>
      <c r="F315" s="2"/>
    </row>
    <row r="316" spans="1:6" ht="11.25" hidden="1" customHeight="1" outlineLevel="1">
      <c r="A316" s="2"/>
      <c r="B316" s="2" t="s">
        <v>688</v>
      </c>
      <c r="C316" s="63">
        <f>D316-D300</f>
        <v>-66650</v>
      </c>
      <c r="D316" s="2">
        <v>23151835.190754801</v>
      </c>
      <c r="E316" s="2"/>
      <c r="F316" s="2"/>
    </row>
    <row r="317" spans="1:6" ht="12.75" hidden="1" customHeight="1" outlineLevel="1"/>
    <row r="318" spans="1:6" ht="12.75" hidden="1" customHeight="1" outlineLevel="1"/>
    <row r="319" spans="1:6" ht="12.75" hidden="1" customHeight="1" outlineLevel="1">
      <c r="A319" s="25">
        <v>18</v>
      </c>
      <c r="B319" s="554" t="s">
        <v>699</v>
      </c>
      <c r="C319" s="553" t="s">
        <v>695</v>
      </c>
      <c r="D319" s="553" t="s">
        <v>694</v>
      </c>
      <c r="E319" s="556"/>
      <c r="F319" s="556"/>
    </row>
    <row r="320" spans="1:6" ht="12.75" hidden="1" customHeight="1" outlineLevel="1">
      <c r="B320" s="2" t="s">
        <v>384</v>
      </c>
      <c r="C320" s="552">
        <f>D320-D304</f>
        <v>-24222425.422077179</v>
      </c>
      <c r="D320" s="2">
        <v>4907592352.9609423</v>
      </c>
      <c r="E320" s="2"/>
      <c r="F320" s="2"/>
    </row>
    <row r="321" spans="1:9" ht="11.25" hidden="1" customHeight="1" outlineLevel="1">
      <c r="A321" s="2"/>
      <c r="B321" s="2" t="s">
        <v>17</v>
      </c>
      <c r="C321" s="551">
        <f>D321-D305</f>
        <v>0</v>
      </c>
      <c r="D321" s="2">
        <v>7.3700000000000002E-2</v>
      </c>
      <c r="E321" s="2"/>
      <c r="F321" s="2"/>
    </row>
    <row r="322" spans="1:9" ht="11.25" hidden="1" customHeight="1" outlineLevel="1">
      <c r="A322" s="2"/>
      <c r="B322" s="2"/>
      <c r="C322" s="2"/>
      <c r="D322" s="2"/>
      <c r="E322" s="2"/>
      <c r="F322" s="2"/>
    </row>
    <row r="323" spans="1:9" ht="11.25" hidden="1" customHeight="1" outlineLevel="1">
      <c r="A323" s="2"/>
      <c r="B323" s="2" t="s">
        <v>693</v>
      </c>
      <c r="C323" s="63">
        <f>D323-D307</f>
        <v>-1785192.7536070347</v>
      </c>
      <c r="D323" s="2">
        <v>361689556.41322148</v>
      </c>
      <c r="E323" s="2"/>
      <c r="F323" s="2"/>
    </row>
    <row r="324" spans="1:9" ht="11.25" hidden="1" customHeight="1" outlineLevel="1">
      <c r="A324" s="2"/>
      <c r="B324" s="2"/>
      <c r="C324" s="63"/>
      <c r="D324" s="2"/>
      <c r="E324" s="2"/>
      <c r="F324" s="2"/>
    </row>
    <row r="325" spans="1:9" ht="11.25" hidden="1" customHeight="1" outlineLevel="1">
      <c r="A325" s="2"/>
      <c r="B325" s="2" t="s">
        <v>692</v>
      </c>
      <c r="C325" s="63">
        <f>D325-D309</f>
        <v>2030947.3607845306</v>
      </c>
      <c r="D325" s="2">
        <v>350922725.50718069</v>
      </c>
      <c r="E325" s="2"/>
      <c r="F325" s="2"/>
    </row>
    <row r="326" spans="1:9" ht="11.25" hidden="1" customHeight="1" outlineLevel="1">
      <c r="A326" s="2"/>
      <c r="B326" s="2" t="s">
        <v>691</v>
      </c>
      <c r="C326" s="63">
        <f>D326-D310</f>
        <v>-3816140.1143915653</v>
      </c>
      <c r="D326" s="2">
        <v>10766830.906040788</v>
      </c>
      <c r="E326" s="2"/>
      <c r="F326" s="2"/>
    </row>
    <row r="327" spans="1:9" ht="11.25" hidden="1" customHeight="1" outlineLevel="1">
      <c r="A327" s="2"/>
      <c r="B327" s="2"/>
      <c r="C327" s="63"/>
      <c r="D327" s="2"/>
      <c r="E327" s="2"/>
      <c r="F327" s="2"/>
    </row>
    <row r="328" spans="1:9" ht="11.25" hidden="1" customHeight="1" outlineLevel="1">
      <c r="A328" s="2"/>
      <c r="B328" s="2" t="s">
        <v>690</v>
      </c>
      <c r="C328" s="63">
        <f>D328-D312</f>
        <v>0</v>
      </c>
      <c r="D328" s="2">
        <v>0.61905100000000002</v>
      </c>
      <c r="E328" s="2"/>
      <c r="F328" s="2"/>
    </row>
    <row r="329" spans="1:9" ht="11.25" hidden="1" customHeight="1" outlineLevel="1">
      <c r="A329" s="2"/>
      <c r="B329" s="2" t="s">
        <v>688</v>
      </c>
      <c r="C329" s="63">
        <f>D329-D313</f>
        <v>-6164500</v>
      </c>
      <c r="D329" s="2">
        <v>17392478</v>
      </c>
      <c r="E329" s="2"/>
      <c r="F329" s="2"/>
    </row>
    <row r="330" spans="1:9" ht="11.25" hidden="1" customHeight="1" outlineLevel="1">
      <c r="A330" s="2"/>
      <c r="B330" s="2" t="s">
        <v>689</v>
      </c>
      <c r="C330" s="63">
        <f>D330-D314</f>
        <v>0</v>
      </c>
      <c r="D330" s="2">
        <v>405142.80924519914</v>
      </c>
      <c r="E330" s="2"/>
      <c r="F330" s="2"/>
    </row>
    <row r="331" spans="1:9" ht="11.25" hidden="1" customHeight="1" outlineLevel="1">
      <c r="A331" s="2"/>
      <c r="B331" s="2"/>
      <c r="C331" s="63"/>
      <c r="D331" s="2"/>
      <c r="E331" s="2"/>
      <c r="F331" s="2"/>
    </row>
    <row r="332" spans="1:9" ht="11.25" hidden="1" customHeight="1" outlineLevel="1">
      <c r="A332" s="2"/>
      <c r="B332" s="2" t="s">
        <v>688</v>
      </c>
      <c r="C332" s="63">
        <f>D332-D316</f>
        <v>-6164500</v>
      </c>
      <c r="D332" s="2">
        <v>16987335.190754801</v>
      </c>
      <c r="E332" s="2"/>
      <c r="F332" s="2"/>
      <c r="I332" s="555"/>
    </row>
    <row r="333" spans="1:9" ht="12.75" hidden="1" customHeight="1" outlineLevel="1"/>
    <row r="334" spans="1:9" ht="12.75" hidden="1" customHeight="1" outlineLevel="1"/>
    <row r="335" spans="1:9" ht="12.75" hidden="1" customHeight="1" outlineLevel="1">
      <c r="A335" s="25">
        <v>19</v>
      </c>
      <c r="B335" s="554" t="s">
        <v>698</v>
      </c>
      <c r="C335" s="553" t="s">
        <v>695</v>
      </c>
      <c r="D335" s="553" t="s">
        <v>694</v>
      </c>
      <c r="E335" s="556"/>
      <c r="F335" s="556"/>
    </row>
    <row r="336" spans="1:9" ht="12.75" hidden="1" customHeight="1" outlineLevel="1">
      <c r="B336" s="2" t="s">
        <v>384</v>
      </c>
      <c r="C336" s="552">
        <f>D336-D320</f>
        <v>80164933.020309448</v>
      </c>
      <c r="D336" s="2">
        <v>4987757285.9812517</v>
      </c>
      <c r="E336" s="2"/>
      <c r="F336" s="2"/>
    </row>
    <row r="337" spans="1:9" ht="11.25" hidden="1" customHeight="1" outlineLevel="1">
      <c r="A337" s="2"/>
      <c r="B337" s="2" t="s">
        <v>17</v>
      </c>
      <c r="C337" s="551">
        <f>D337-D321</f>
        <v>0</v>
      </c>
      <c r="D337" s="2">
        <v>7.3700000000000002E-2</v>
      </c>
      <c r="E337" s="2"/>
      <c r="F337" s="2"/>
    </row>
    <row r="338" spans="1:9" ht="11.25" hidden="1" customHeight="1" outlineLevel="1">
      <c r="A338" s="2"/>
      <c r="B338" s="2"/>
      <c r="C338" s="2"/>
      <c r="D338" s="2"/>
      <c r="E338" s="2"/>
      <c r="F338" s="2"/>
    </row>
    <row r="339" spans="1:9" ht="11.25" hidden="1" customHeight="1" outlineLevel="1">
      <c r="A339" s="2"/>
      <c r="B339" s="2" t="s">
        <v>693</v>
      </c>
      <c r="C339" s="63">
        <f>D339-D323</f>
        <v>5908155.5635967851</v>
      </c>
      <c r="D339" s="2">
        <v>367597711.97681826</v>
      </c>
      <c r="E339" s="2"/>
      <c r="F339" s="2"/>
    </row>
    <row r="340" spans="1:9" ht="11.25" hidden="1" customHeight="1" outlineLevel="1">
      <c r="A340" s="2"/>
      <c r="B340" s="2"/>
      <c r="C340" s="63"/>
      <c r="D340" s="2"/>
      <c r="E340" s="2"/>
      <c r="F340" s="2"/>
    </row>
    <row r="341" spans="1:9" ht="11.25" hidden="1" customHeight="1" outlineLevel="1">
      <c r="A341" s="2"/>
      <c r="B341" s="2" t="s">
        <v>692</v>
      </c>
      <c r="C341" s="63">
        <f>D341-D325</f>
        <v>-6721490.0068714619</v>
      </c>
      <c r="D341" s="2">
        <v>344201235.50030923</v>
      </c>
      <c r="E341" s="2"/>
      <c r="F341" s="2"/>
    </row>
    <row r="342" spans="1:9" ht="11.25" hidden="1" customHeight="1" outlineLevel="1">
      <c r="A342" s="2"/>
      <c r="B342" s="2" t="s">
        <v>691</v>
      </c>
      <c r="C342" s="63">
        <f>D342-D326</f>
        <v>12629645.570468247</v>
      </c>
      <c r="D342" s="2">
        <v>23396476.476509035</v>
      </c>
      <c r="E342" s="2"/>
      <c r="F342" s="2"/>
    </row>
    <row r="343" spans="1:9" ht="11.25" hidden="1" customHeight="1" outlineLevel="1">
      <c r="A343" s="2"/>
      <c r="B343" s="2"/>
      <c r="C343" s="63"/>
      <c r="D343" s="2"/>
      <c r="E343" s="2"/>
      <c r="F343" s="2"/>
    </row>
    <row r="344" spans="1:9" ht="11.25" hidden="1" customHeight="1" outlineLevel="1">
      <c r="A344" s="2"/>
      <c r="B344" s="2" t="s">
        <v>690</v>
      </c>
      <c r="C344" s="63">
        <f>D344-D328</f>
        <v>0</v>
      </c>
      <c r="D344" s="2">
        <v>0.61905100000000002</v>
      </c>
      <c r="E344" s="2"/>
      <c r="F344" s="2"/>
    </row>
    <row r="345" spans="1:9" ht="11.25" hidden="1" customHeight="1" outlineLevel="1">
      <c r="A345" s="2"/>
      <c r="B345" s="2" t="s">
        <v>688</v>
      </c>
      <c r="C345" s="63">
        <f>D345-D329</f>
        <v>20401624</v>
      </c>
      <c r="D345" s="2">
        <v>37794102</v>
      </c>
      <c r="E345" s="2"/>
      <c r="F345" s="2"/>
    </row>
    <row r="346" spans="1:9" ht="11.25" hidden="1" customHeight="1" outlineLevel="1">
      <c r="A346" s="2"/>
      <c r="B346" s="2" t="s">
        <v>689</v>
      </c>
      <c r="C346" s="63">
        <f>D346-D330</f>
        <v>0</v>
      </c>
      <c r="D346" s="2">
        <v>405142.80924519914</v>
      </c>
      <c r="E346" s="2"/>
      <c r="F346" s="2"/>
    </row>
    <row r="347" spans="1:9" ht="11.25" hidden="1" customHeight="1" outlineLevel="1">
      <c r="A347" s="2"/>
      <c r="B347" s="2"/>
      <c r="C347" s="63"/>
      <c r="D347" s="2"/>
      <c r="E347" s="2"/>
      <c r="F347" s="2"/>
    </row>
    <row r="348" spans="1:9" ht="11.25" hidden="1" customHeight="1" outlineLevel="1">
      <c r="A348" s="2"/>
      <c r="B348" s="2" t="s">
        <v>688</v>
      </c>
      <c r="C348" s="63">
        <f>D348-D332</f>
        <v>20401624</v>
      </c>
      <c r="D348" s="2">
        <v>37388959.190754801</v>
      </c>
      <c r="E348" s="2"/>
      <c r="F348" s="2"/>
      <c r="I348" s="555"/>
    </row>
    <row r="349" spans="1:9" ht="12.75" hidden="1" customHeight="1" outlineLevel="1"/>
    <row r="350" spans="1:9" ht="12.75" hidden="1" customHeight="1" outlineLevel="1"/>
    <row r="351" spans="1:9" ht="12.75" hidden="1" customHeight="1" outlineLevel="1">
      <c r="A351" s="25">
        <v>20</v>
      </c>
      <c r="B351" s="554" t="s">
        <v>697</v>
      </c>
      <c r="C351" s="553" t="s">
        <v>695</v>
      </c>
      <c r="D351" s="553" t="s">
        <v>694</v>
      </c>
    </row>
    <row r="352" spans="1:9" ht="12.75" hidden="1" customHeight="1" outlineLevel="1">
      <c r="B352" s="2" t="s">
        <v>384</v>
      </c>
      <c r="C352" s="552">
        <f>D352-D336</f>
        <v>19004590.008908272</v>
      </c>
      <c r="D352" s="2">
        <v>5006761875.99016</v>
      </c>
    </row>
    <row r="353" spans="1:4" ht="12.75" hidden="1" customHeight="1" outlineLevel="1">
      <c r="A353" s="2"/>
      <c r="B353" s="2" t="s">
        <v>17</v>
      </c>
      <c r="C353" s="551">
        <f>D353-D337</f>
        <v>0</v>
      </c>
      <c r="D353" s="2">
        <v>7.3700000000000002E-2</v>
      </c>
    </row>
    <row r="354" spans="1:4" ht="12.75" hidden="1" customHeight="1" outlineLevel="1">
      <c r="A354" s="2"/>
      <c r="B354" s="2"/>
      <c r="C354" s="2"/>
      <c r="D354" s="2"/>
    </row>
    <row r="355" spans="1:4" ht="12.75" hidden="1" customHeight="1" outlineLevel="1">
      <c r="A355" s="2"/>
      <c r="B355" s="2" t="s">
        <v>693</v>
      </c>
      <c r="C355" s="63">
        <f>D355-D339</f>
        <v>1400638.2836565375</v>
      </c>
      <c r="D355" s="2">
        <v>368998350.2604748</v>
      </c>
    </row>
    <row r="356" spans="1:4" ht="12.75" hidden="1" customHeight="1" outlineLevel="1">
      <c r="A356" s="2"/>
      <c r="B356" s="2"/>
      <c r="C356" s="63"/>
      <c r="D356" s="2"/>
    </row>
    <row r="357" spans="1:4" ht="12.75" hidden="1" customHeight="1" outlineLevel="1">
      <c r="A357" s="2"/>
      <c r="B357" s="2" t="s">
        <v>692</v>
      </c>
      <c r="C357" s="63">
        <f>D357-D341</f>
        <v>196222.39184212685</v>
      </c>
      <c r="D357" s="2">
        <v>344397457.89215136</v>
      </c>
    </row>
    <row r="358" spans="1:4" ht="12.75" hidden="1" customHeight="1" outlineLevel="1">
      <c r="A358" s="2"/>
      <c r="B358" s="2" t="s">
        <v>691</v>
      </c>
      <c r="C358" s="63">
        <f>D358-D342</f>
        <v>1204415.8918144107</v>
      </c>
      <c r="D358" s="2">
        <v>24600892.368323445</v>
      </c>
    </row>
    <row r="359" spans="1:4" ht="12.75" hidden="1" customHeight="1" outlineLevel="1">
      <c r="A359" s="2"/>
      <c r="B359" s="2"/>
      <c r="C359" s="63"/>
      <c r="D359" s="2"/>
    </row>
    <row r="360" spans="1:4" ht="12.75" hidden="1" customHeight="1" outlineLevel="1">
      <c r="A360" s="2"/>
      <c r="B360" s="2" t="s">
        <v>690</v>
      </c>
      <c r="C360" s="63">
        <f>D360-D344</f>
        <v>0</v>
      </c>
      <c r="D360" s="2">
        <v>0.61905100000000002</v>
      </c>
    </row>
    <row r="361" spans="1:4" ht="12.75" hidden="1" customHeight="1" outlineLevel="1">
      <c r="A361" s="2"/>
      <c r="B361" s="2" t="s">
        <v>688</v>
      </c>
      <c r="C361" s="63">
        <f>D361-D345</f>
        <v>1945584</v>
      </c>
      <c r="D361" s="2">
        <v>39739686</v>
      </c>
    </row>
    <row r="362" spans="1:4" ht="12.75" hidden="1" customHeight="1" outlineLevel="1">
      <c r="A362" s="2"/>
      <c r="B362" s="2" t="s">
        <v>689</v>
      </c>
      <c r="C362" s="63">
        <f>D362-D346</f>
        <v>0</v>
      </c>
      <c r="D362" s="2">
        <v>405142.80924519914</v>
      </c>
    </row>
    <row r="363" spans="1:4" ht="12.75" hidden="1" customHeight="1" outlineLevel="1">
      <c r="A363" s="2"/>
      <c r="B363" s="2"/>
      <c r="C363" s="63"/>
      <c r="D363" s="2"/>
    </row>
    <row r="364" spans="1:4" ht="12.75" hidden="1" customHeight="1" outlineLevel="1">
      <c r="A364" s="2"/>
      <c r="B364" s="2" t="s">
        <v>688</v>
      </c>
      <c r="C364" s="63">
        <f>D364-D348</f>
        <v>1945584</v>
      </c>
      <c r="D364" s="2">
        <v>39334543.190754801</v>
      </c>
    </row>
    <row r="365" spans="1:4" ht="12.75" hidden="1" customHeight="1" outlineLevel="1">
      <c r="A365" s="351"/>
      <c r="B365" s="2"/>
      <c r="C365" s="2"/>
      <c r="D365" s="2"/>
    </row>
    <row r="366" spans="1:4" ht="12.75" hidden="1" customHeight="1" outlineLevel="1"/>
    <row r="367" spans="1:4" ht="12.75" hidden="1" customHeight="1" outlineLevel="1">
      <c r="A367" s="25">
        <v>21</v>
      </c>
      <c r="B367" s="554" t="s">
        <v>696</v>
      </c>
      <c r="C367" s="553" t="s">
        <v>695</v>
      </c>
      <c r="D367" s="553" t="s">
        <v>694</v>
      </c>
    </row>
    <row r="368" spans="1:4" ht="12.75" hidden="1" customHeight="1" outlineLevel="1">
      <c r="B368" s="2" t="s">
        <v>384</v>
      </c>
      <c r="C368" s="552">
        <f>D368-D352</f>
        <v>275239.95183086395</v>
      </c>
      <c r="D368" s="2">
        <v>5007037115.9419909</v>
      </c>
    </row>
    <row r="369" spans="1:4" ht="12.75" hidden="1" customHeight="1" outlineLevel="1">
      <c r="A369" s="2"/>
      <c r="B369" s="2" t="s">
        <v>17</v>
      </c>
      <c r="C369" s="551">
        <f>D369-D353</f>
        <v>0</v>
      </c>
      <c r="D369" s="2">
        <v>7.3700000000000002E-2</v>
      </c>
    </row>
    <row r="370" spans="1:4" ht="12.75" hidden="1" customHeight="1" outlineLevel="1">
      <c r="A370" s="2"/>
      <c r="B370" s="2"/>
      <c r="C370" s="2"/>
      <c r="D370" s="2"/>
    </row>
    <row r="371" spans="1:4" ht="12.75" hidden="1" customHeight="1" outlineLevel="1">
      <c r="A371" s="2"/>
      <c r="B371" s="2" t="s">
        <v>693</v>
      </c>
      <c r="C371" s="63">
        <f>D371-D355</f>
        <v>20285.184449911118</v>
      </c>
      <c r="D371" s="2">
        <v>369018635.44492471</v>
      </c>
    </row>
    <row r="372" spans="1:4" ht="12.75" hidden="1" customHeight="1" outlineLevel="1">
      <c r="A372" s="2"/>
      <c r="B372" s="2"/>
      <c r="C372" s="63"/>
      <c r="D372" s="2"/>
    </row>
    <row r="373" spans="1:4" ht="12.75" hidden="1" customHeight="1" outlineLevel="1">
      <c r="A373" s="2"/>
      <c r="B373" s="2" t="s">
        <v>692</v>
      </c>
      <c r="C373" s="63">
        <f>D373-D357</f>
        <v>2841.8525025844574</v>
      </c>
      <c r="D373" s="2">
        <v>344400299.74465394</v>
      </c>
    </row>
    <row r="374" spans="1:4" ht="12.75" hidden="1" customHeight="1" outlineLevel="1">
      <c r="A374" s="2"/>
      <c r="B374" s="2" t="s">
        <v>691</v>
      </c>
      <c r="C374" s="63">
        <f>D374-D358</f>
        <v>17443.33194732666</v>
      </c>
      <c r="D374" s="2">
        <v>24618335.700270772</v>
      </c>
    </row>
    <row r="375" spans="1:4" ht="12.75" hidden="1" customHeight="1" outlineLevel="1">
      <c r="A375" s="2"/>
      <c r="B375" s="2"/>
      <c r="C375" s="63"/>
      <c r="D375" s="2"/>
    </row>
    <row r="376" spans="1:4" ht="12.75" hidden="1" customHeight="1" outlineLevel="1">
      <c r="A376" s="2"/>
      <c r="B376" s="2" t="s">
        <v>690</v>
      </c>
      <c r="C376" s="63">
        <f>D376-D360</f>
        <v>0</v>
      </c>
      <c r="D376" s="2">
        <v>0.61905100000000002</v>
      </c>
    </row>
    <row r="377" spans="1:4" hidden="1" outlineLevel="1">
      <c r="A377" s="2"/>
      <c r="B377" s="2" t="s">
        <v>688</v>
      </c>
      <c r="C377" s="63">
        <f>D377-D361</f>
        <v>28178</v>
      </c>
      <c r="D377" s="2">
        <v>39767864</v>
      </c>
    </row>
    <row r="378" spans="1:4" hidden="1" outlineLevel="1">
      <c r="A378" s="2"/>
      <c r="B378" s="2" t="s">
        <v>689</v>
      </c>
      <c r="C378" s="63">
        <f>D378-D362</f>
        <v>0</v>
      </c>
      <c r="D378" s="2">
        <v>405142.80924519914</v>
      </c>
    </row>
    <row r="379" spans="1:4" hidden="1" outlineLevel="1">
      <c r="A379" s="2"/>
      <c r="B379" s="2"/>
      <c r="C379" s="63"/>
      <c r="D379" s="2"/>
    </row>
    <row r="380" spans="1:4" hidden="1" outlineLevel="1">
      <c r="A380" s="2"/>
      <c r="B380" s="2" t="s">
        <v>688</v>
      </c>
      <c r="C380" s="63">
        <f>D380-D364</f>
        <v>28178</v>
      </c>
      <c r="D380" s="2">
        <v>39362721.190754801</v>
      </c>
    </row>
    <row r="381" spans="1:4" hidden="1" outlineLevel="1"/>
    <row r="382" spans="1:4" hidden="1" outlineLevel="1"/>
    <row r="383" spans="1:4" hidden="1" outlineLevel="1"/>
    <row r="384" spans="1:4" hidden="1" outlineLevel="1"/>
    <row r="385" hidden="1" outlineLevel="1"/>
    <row r="386" hidden="1" outlineLevel="1"/>
    <row r="387" hidden="1" outlineLevel="1"/>
    <row r="388" hidden="1" outlineLevel="1"/>
    <row r="389" hidden="1" outlineLevel="1"/>
    <row r="390" hidden="1" outlineLevel="1"/>
    <row r="391" hidden="1" outlineLevel="1"/>
    <row r="392" hidden="1" outlineLevel="1"/>
    <row r="393" hidden="1" outlineLevel="1"/>
    <row r="394" hidden="1" outlineLevel="1"/>
    <row r="395" hidden="1" outlineLevel="1"/>
    <row r="396" hidden="1" outlineLevel="1"/>
    <row r="397" hidden="1" outlineLevel="1"/>
    <row r="398" hidden="1" outlineLevel="1"/>
    <row r="399" hidden="1" outlineLevel="1"/>
    <row r="400" hidden="1" outlineLevel="1"/>
    <row r="401" collapsed="1"/>
  </sheetData>
  <mergeCells count="2">
    <mergeCell ref="D27:F28"/>
    <mergeCell ref="A5:F5"/>
  </mergeCells>
  <pageMargins left="1.5" right="0.46" top="1" bottom="0.57999999999999996" header="0.24" footer="0.31"/>
  <pageSetup scale="70" orientation="landscape" r:id="rId1"/>
  <headerFooter alignWithMargins="0">
    <oddFooter>&amp;CREVISED AUGUST 08,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U76"/>
  <sheetViews>
    <sheetView view="pageBreakPreview" topLeftCell="A21" zoomScale="60" zoomScaleNormal="90" workbookViewId="0">
      <selection activeCell="J51" sqref="J51"/>
    </sheetView>
  </sheetViews>
  <sheetFormatPr defaultRowHeight="12" outlineLevelCol="1"/>
  <cols>
    <col min="1" max="1" width="5.6640625" style="2" customWidth="1"/>
    <col min="2" max="2" width="11.6640625" style="2" customWidth="1"/>
    <col min="3" max="3" width="86.6640625" style="2" bestFit="1" customWidth="1"/>
    <col min="4" max="4" width="3.33203125" style="578" customWidth="1"/>
    <col min="5" max="5" width="2.83203125" style="2" customWidth="1"/>
    <col min="6" max="6" width="21.83203125" style="2" customWidth="1"/>
    <col min="7" max="7" width="25.5" style="2" customWidth="1"/>
    <col min="8" max="8" width="21" style="2" customWidth="1"/>
    <col min="9" max="9" width="18.5" style="2" customWidth="1"/>
    <col min="10" max="10" width="18.5" style="10" customWidth="1"/>
    <col min="11" max="11" width="21.5" style="10" customWidth="1"/>
    <col min="12" max="12" width="18.5" style="2" customWidth="1"/>
    <col min="13" max="13" width="20" style="2" bestFit="1" customWidth="1"/>
    <col min="14" max="14" width="23.5" style="2" bestFit="1" customWidth="1"/>
    <col min="15" max="15" width="23.5" style="2" customWidth="1"/>
    <col min="16" max="16" width="14.5" style="2" bestFit="1" customWidth="1"/>
    <col min="17" max="18" width="21.83203125" style="2" customWidth="1"/>
    <col min="19" max="19" width="1.5" style="2" customWidth="1"/>
    <col min="20" max="20" width="1.6640625" style="2" customWidth="1"/>
    <col min="21" max="21" width="20.5" style="2" customWidth="1"/>
    <col min="22" max="23" width="9.33203125" style="2"/>
    <col min="24" max="24" width="12" style="2" customWidth="1"/>
    <col min="25" max="26" width="7.83203125" style="2" customWidth="1"/>
    <col min="27" max="29" width="21.33203125" style="2" hidden="1" customWidth="1" outlineLevel="1"/>
    <col min="30" max="30" width="9.33203125" style="2" collapsed="1"/>
    <col min="31" max="257" width="9.33203125" style="2"/>
    <col min="258" max="258" width="5.6640625" style="2" customWidth="1"/>
    <col min="259" max="259" width="11.6640625" style="2" customWidth="1"/>
    <col min="260" max="260" width="48" style="2" customWidth="1"/>
    <col min="261" max="261" width="3.83203125" style="2" customWidth="1"/>
    <col min="262" max="262" width="2.83203125" style="2" customWidth="1"/>
    <col min="263" max="263" width="21.83203125" style="2" customWidth="1"/>
    <col min="264" max="264" width="25.5" style="2" customWidth="1"/>
    <col min="265" max="265" width="21" style="2" customWidth="1"/>
    <col min="266" max="267" width="0" style="2" hidden="1" customWidth="1"/>
    <col min="268" max="268" width="18.5" style="2" customWidth="1"/>
    <col min="269" max="269" width="20" style="2" bestFit="1" customWidth="1"/>
    <col min="270" max="270" width="23.5" style="2" bestFit="1" customWidth="1"/>
    <col min="271" max="271" width="0" style="2" hidden="1" customWidth="1"/>
    <col min="272" max="272" width="21.33203125" style="2" bestFit="1" customWidth="1"/>
    <col min="273" max="273" width="14.5" style="2" bestFit="1" customWidth="1"/>
    <col min="274" max="274" width="22.1640625" style="2" customWidth="1"/>
    <col min="275" max="275" width="1.5" style="2" customWidth="1"/>
    <col min="276" max="276" width="1.6640625" style="2" customWidth="1"/>
    <col min="277" max="277" width="17.83203125" style="2" customWidth="1"/>
    <col min="278" max="513" width="9.33203125" style="2"/>
    <col min="514" max="514" width="5.6640625" style="2" customWidth="1"/>
    <col min="515" max="515" width="11.6640625" style="2" customWidth="1"/>
    <col min="516" max="516" width="48" style="2" customWidth="1"/>
    <col min="517" max="517" width="3.83203125" style="2" customWidth="1"/>
    <col min="518" max="518" width="2.83203125" style="2" customWidth="1"/>
    <col min="519" max="519" width="21.83203125" style="2" customWidth="1"/>
    <col min="520" max="520" width="25.5" style="2" customWidth="1"/>
    <col min="521" max="521" width="21" style="2" customWidth="1"/>
    <col min="522" max="523" width="0" style="2" hidden="1" customWidth="1"/>
    <col min="524" max="524" width="18.5" style="2" customWidth="1"/>
    <col min="525" max="525" width="20" style="2" bestFit="1" customWidth="1"/>
    <col min="526" max="526" width="23.5" style="2" bestFit="1" customWidth="1"/>
    <col min="527" max="527" width="0" style="2" hidden="1" customWidth="1"/>
    <col min="528" max="528" width="21.33203125" style="2" bestFit="1" customWidth="1"/>
    <col min="529" max="529" width="14.5" style="2" bestFit="1" customWidth="1"/>
    <col min="530" max="530" width="22.1640625" style="2" customWidth="1"/>
    <col min="531" max="531" width="1.5" style="2" customWidth="1"/>
    <col min="532" max="532" width="1.6640625" style="2" customWidth="1"/>
    <col min="533" max="533" width="17.83203125" style="2" customWidth="1"/>
    <col min="534" max="769" width="9.33203125" style="2"/>
    <col min="770" max="770" width="5.6640625" style="2" customWidth="1"/>
    <col min="771" max="771" width="11.6640625" style="2" customWidth="1"/>
    <col min="772" max="772" width="48" style="2" customWidth="1"/>
    <col min="773" max="773" width="3.83203125" style="2" customWidth="1"/>
    <col min="774" max="774" width="2.83203125" style="2" customWidth="1"/>
    <col min="775" max="775" width="21.83203125" style="2" customWidth="1"/>
    <col min="776" max="776" width="25.5" style="2" customWidth="1"/>
    <col min="777" max="777" width="21" style="2" customWidth="1"/>
    <col min="778" max="779" width="0" style="2" hidden="1" customWidth="1"/>
    <col min="780" max="780" width="18.5" style="2" customWidth="1"/>
    <col min="781" max="781" width="20" style="2" bestFit="1" customWidth="1"/>
    <col min="782" max="782" width="23.5" style="2" bestFit="1" customWidth="1"/>
    <col min="783" max="783" width="0" style="2" hidden="1" customWidth="1"/>
    <col min="784" max="784" width="21.33203125" style="2" bestFit="1" customWidth="1"/>
    <col min="785" max="785" width="14.5" style="2" bestFit="1" customWidth="1"/>
    <col min="786" max="786" width="22.1640625" style="2" customWidth="1"/>
    <col min="787" max="787" width="1.5" style="2" customWidth="1"/>
    <col min="788" max="788" width="1.6640625" style="2" customWidth="1"/>
    <col min="789" max="789" width="17.83203125" style="2" customWidth="1"/>
    <col min="790" max="1025" width="9.33203125" style="2"/>
    <col min="1026" max="1026" width="5.6640625" style="2" customWidth="1"/>
    <col min="1027" max="1027" width="11.6640625" style="2" customWidth="1"/>
    <col min="1028" max="1028" width="48" style="2" customWidth="1"/>
    <col min="1029" max="1029" width="3.83203125" style="2" customWidth="1"/>
    <col min="1030" max="1030" width="2.83203125" style="2" customWidth="1"/>
    <col min="1031" max="1031" width="21.83203125" style="2" customWidth="1"/>
    <col min="1032" max="1032" width="25.5" style="2" customWidth="1"/>
    <col min="1033" max="1033" width="21" style="2" customWidth="1"/>
    <col min="1034" max="1035" width="0" style="2" hidden="1" customWidth="1"/>
    <col min="1036" max="1036" width="18.5" style="2" customWidth="1"/>
    <col min="1037" max="1037" width="20" style="2" bestFit="1" customWidth="1"/>
    <col min="1038" max="1038" width="23.5" style="2" bestFit="1" customWidth="1"/>
    <col min="1039" max="1039" width="0" style="2" hidden="1" customWidth="1"/>
    <col min="1040" max="1040" width="21.33203125" style="2" bestFit="1" customWidth="1"/>
    <col min="1041" max="1041" width="14.5" style="2" bestFit="1" customWidth="1"/>
    <col min="1042" max="1042" width="22.1640625" style="2" customWidth="1"/>
    <col min="1043" max="1043" width="1.5" style="2" customWidth="1"/>
    <col min="1044" max="1044" width="1.6640625" style="2" customWidth="1"/>
    <col min="1045" max="1045" width="17.83203125" style="2" customWidth="1"/>
    <col min="1046" max="1281" width="9.33203125" style="2"/>
    <col min="1282" max="1282" width="5.6640625" style="2" customWidth="1"/>
    <col min="1283" max="1283" width="11.6640625" style="2" customWidth="1"/>
    <col min="1284" max="1284" width="48" style="2" customWidth="1"/>
    <col min="1285" max="1285" width="3.83203125" style="2" customWidth="1"/>
    <col min="1286" max="1286" width="2.83203125" style="2" customWidth="1"/>
    <col min="1287" max="1287" width="21.83203125" style="2" customWidth="1"/>
    <col min="1288" max="1288" width="25.5" style="2" customWidth="1"/>
    <col min="1289" max="1289" width="21" style="2" customWidth="1"/>
    <col min="1290" max="1291" width="0" style="2" hidden="1" customWidth="1"/>
    <col min="1292" max="1292" width="18.5" style="2" customWidth="1"/>
    <col min="1293" max="1293" width="20" style="2" bestFit="1" customWidth="1"/>
    <col min="1294" max="1294" width="23.5" style="2" bestFit="1" customWidth="1"/>
    <col min="1295" max="1295" width="0" style="2" hidden="1" customWidth="1"/>
    <col min="1296" max="1296" width="21.33203125" style="2" bestFit="1" customWidth="1"/>
    <col min="1297" max="1297" width="14.5" style="2" bestFit="1" customWidth="1"/>
    <col min="1298" max="1298" width="22.1640625" style="2" customWidth="1"/>
    <col min="1299" max="1299" width="1.5" style="2" customWidth="1"/>
    <col min="1300" max="1300" width="1.6640625" style="2" customWidth="1"/>
    <col min="1301" max="1301" width="17.83203125" style="2" customWidth="1"/>
    <col min="1302" max="1537" width="9.33203125" style="2"/>
    <col min="1538" max="1538" width="5.6640625" style="2" customWidth="1"/>
    <col min="1539" max="1539" width="11.6640625" style="2" customWidth="1"/>
    <col min="1540" max="1540" width="48" style="2" customWidth="1"/>
    <col min="1541" max="1541" width="3.83203125" style="2" customWidth="1"/>
    <col min="1542" max="1542" width="2.83203125" style="2" customWidth="1"/>
    <col min="1543" max="1543" width="21.83203125" style="2" customWidth="1"/>
    <col min="1544" max="1544" width="25.5" style="2" customWidth="1"/>
    <col min="1545" max="1545" width="21" style="2" customWidth="1"/>
    <col min="1546" max="1547" width="0" style="2" hidden="1" customWidth="1"/>
    <col min="1548" max="1548" width="18.5" style="2" customWidth="1"/>
    <col min="1549" max="1549" width="20" style="2" bestFit="1" customWidth="1"/>
    <col min="1550" max="1550" width="23.5" style="2" bestFit="1" customWidth="1"/>
    <col min="1551" max="1551" width="0" style="2" hidden="1" customWidth="1"/>
    <col min="1552" max="1552" width="21.33203125" style="2" bestFit="1" customWidth="1"/>
    <col min="1553" max="1553" width="14.5" style="2" bestFit="1" customWidth="1"/>
    <col min="1554" max="1554" width="22.1640625" style="2" customWidth="1"/>
    <col min="1555" max="1555" width="1.5" style="2" customWidth="1"/>
    <col min="1556" max="1556" width="1.6640625" style="2" customWidth="1"/>
    <col min="1557" max="1557" width="17.83203125" style="2" customWidth="1"/>
    <col min="1558" max="1793" width="9.33203125" style="2"/>
    <col min="1794" max="1794" width="5.6640625" style="2" customWidth="1"/>
    <col min="1795" max="1795" width="11.6640625" style="2" customWidth="1"/>
    <col min="1796" max="1796" width="48" style="2" customWidth="1"/>
    <col min="1797" max="1797" width="3.83203125" style="2" customWidth="1"/>
    <col min="1798" max="1798" width="2.83203125" style="2" customWidth="1"/>
    <col min="1799" max="1799" width="21.83203125" style="2" customWidth="1"/>
    <col min="1800" max="1800" width="25.5" style="2" customWidth="1"/>
    <col min="1801" max="1801" width="21" style="2" customWidth="1"/>
    <col min="1802" max="1803" width="0" style="2" hidden="1" customWidth="1"/>
    <col min="1804" max="1804" width="18.5" style="2" customWidth="1"/>
    <col min="1805" max="1805" width="20" style="2" bestFit="1" customWidth="1"/>
    <col min="1806" max="1806" width="23.5" style="2" bestFit="1" customWidth="1"/>
    <col min="1807" max="1807" width="0" style="2" hidden="1" customWidth="1"/>
    <col min="1808" max="1808" width="21.33203125" style="2" bestFit="1" customWidth="1"/>
    <col min="1809" max="1809" width="14.5" style="2" bestFit="1" customWidth="1"/>
    <col min="1810" max="1810" width="22.1640625" style="2" customWidth="1"/>
    <col min="1811" max="1811" width="1.5" style="2" customWidth="1"/>
    <col min="1812" max="1812" width="1.6640625" style="2" customWidth="1"/>
    <col min="1813" max="1813" width="17.83203125" style="2" customWidth="1"/>
    <col min="1814" max="2049" width="9.33203125" style="2"/>
    <col min="2050" max="2050" width="5.6640625" style="2" customWidth="1"/>
    <col min="2051" max="2051" width="11.6640625" style="2" customWidth="1"/>
    <col min="2052" max="2052" width="48" style="2" customWidth="1"/>
    <col min="2053" max="2053" width="3.83203125" style="2" customWidth="1"/>
    <col min="2054" max="2054" width="2.83203125" style="2" customWidth="1"/>
    <col min="2055" max="2055" width="21.83203125" style="2" customWidth="1"/>
    <col min="2056" max="2056" width="25.5" style="2" customWidth="1"/>
    <col min="2057" max="2057" width="21" style="2" customWidth="1"/>
    <col min="2058" max="2059" width="0" style="2" hidden="1" customWidth="1"/>
    <col min="2060" max="2060" width="18.5" style="2" customWidth="1"/>
    <col min="2061" max="2061" width="20" style="2" bestFit="1" customWidth="1"/>
    <col min="2062" max="2062" width="23.5" style="2" bestFit="1" customWidth="1"/>
    <col min="2063" max="2063" width="0" style="2" hidden="1" customWidth="1"/>
    <col min="2064" max="2064" width="21.33203125" style="2" bestFit="1" customWidth="1"/>
    <col min="2065" max="2065" width="14.5" style="2" bestFit="1" customWidth="1"/>
    <col min="2066" max="2066" width="22.1640625" style="2" customWidth="1"/>
    <col min="2067" max="2067" width="1.5" style="2" customWidth="1"/>
    <col min="2068" max="2068" width="1.6640625" style="2" customWidth="1"/>
    <col min="2069" max="2069" width="17.83203125" style="2" customWidth="1"/>
    <col min="2070" max="2305" width="9.33203125" style="2"/>
    <col min="2306" max="2306" width="5.6640625" style="2" customWidth="1"/>
    <col min="2307" max="2307" width="11.6640625" style="2" customWidth="1"/>
    <col min="2308" max="2308" width="48" style="2" customWidth="1"/>
    <col min="2309" max="2309" width="3.83203125" style="2" customWidth="1"/>
    <col min="2310" max="2310" width="2.83203125" style="2" customWidth="1"/>
    <col min="2311" max="2311" width="21.83203125" style="2" customWidth="1"/>
    <col min="2312" max="2312" width="25.5" style="2" customWidth="1"/>
    <col min="2313" max="2313" width="21" style="2" customWidth="1"/>
    <col min="2314" max="2315" width="0" style="2" hidden="1" customWidth="1"/>
    <col min="2316" max="2316" width="18.5" style="2" customWidth="1"/>
    <col min="2317" max="2317" width="20" style="2" bestFit="1" customWidth="1"/>
    <col min="2318" max="2318" width="23.5" style="2" bestFit="1" customWidth="1"/>
    <col min="2319" max="2319" width="0" style="2" hidden="1" customWidth="1"/>
    <col min="2320" max="2320" width="21.33203125" style="2" bestFit="1" customWidth="1"/>
    <col min="2321" max="2321" width="14.5" style="2" bestFit="1" customWidth="1"/>
    <col min="2322" max="2322" width="22.1640625" style="2" customWidth="1"/>
    <col min="2323" max="2323" width="1.5" style="2" customWidth="1"/>
    <col min="2324" max="2324" width="1.6640625" style="2" customWidth="1"/>
    <col min="2325" max="2325" width="17.83203125" style="2" customWidth="1"/>
    <col min="2326" max="2561" width="9.33203125" style="2"/>
    <col min="2562" max="2562" width="5.6640625" style="2" customWidth="1"/>
    <col min="2563" max="2563" width="11.6640625" style="2" customWidth="1"/>
    <col min="2564" max="2564" width="48" style="2" customWidth="1"/>
    <col min="2565" max="2565" width="3.83203125" style="2" customWidth="1"/>
    <col min="2566" max="2566" width="2.83203125" style="2" customWidth="1"/>
    <col min="2567" max="2567" width="21.83203125" style="2" customWidth="1"/>
    <col min="2568" max="2568" width="25.5" style="2" customWidth="1"/>
    <col min="2569" max="2569" width="21" style="2" customWidth="1"/>
    <col min="2570" max="2571" width="0" style="2" hidden="1" customWidth="1"/>
    <col min="2572" max="2572" width="18.5" style="2" customWidth="1"/>
    <col min="2573" max="2573" width="20" style="2" bestFit="1" customWidth="1"/>
    <col min="2574" max="2574" width="23.5" style="2" bestFit="1" customWidth="1"/>
    <col min="2575" max="2575" width="0" style="2" hidden="1" customWidth="1"/>
    <col min="2576" max="2576" width="21.33203125" style="2" bestFit="1" customWidth="1"/>
    <col min="2577" max="2577" width="14.5" style="2" bestFit="1" customWidth="1"/>
    <col min="2578" max="2578" width="22.1640625" style="2" customWidth="1"/>
    <col min="2579" max="2579" width="1.5" style="2" customWidth="1"/>
    <col min="2580" max="2580" width="1.6640625" style="2" customWidth="1"/>
    <col min="2581" max="2581" width="17.83203125" style="2" customWidth="1"/>
    <col min="2582" max="2817" width="9.33203125" style="2"/>
    <col min="2818" max="2818" width="5.6640625" style="2" customWidth="1"/>
    <col min="2819" max="2819" width="11.6640625" style="2" customWidth="1"/>
    <col min="2820" max="2820" width="48" style="2" customWidth="1"/>
    <col min="2821" max="2821" width="3.83203125" style="2" customWidth="1"/>
    <col min="2822" max="2822" width="2.83203125" style="2" customWidth="1"/>
    <col min="2823" max="2823" width="21.83203125" style="2" customWidth="1"/>
    <col min="2824" max="2824" width="25.5" style="2" customWidth="1"/>
    <col min="2825" max="2825" width="21" style="2" customWidth="1"/>
    <col min="2826" max="2827" width="0" style="2" hidden="1" customWidth="1"/>
    <col min="2828" max="2828" width="18.5" style="2" customWidth="1"/>
    <col min="2829" max="2829" width="20" style="2" bestFit="1" customWidth="1"/>
    <col min="2830" max="2830" width="23.5" style="2" bestFit="1" customWidth="1"/>
    <col min="2831" max="2831" width="0" style="2" hidden="1" customWidth="1"/>
    <col min="2832" max="2832" width="21.33203125" style="2" bestFit="1" customWidth="1"/>
    <col min="2833" max="2833" width="14.5" style="2" bestFit="1" customWidth="1"/>
    <col min="2834" max="2834" width="22.1640625" style="2" customWidth="1"/>
    <col min="2835" max="2835" width="1.5" style="2" customWidth="1"/>
    <col min="2836" max="2836" width="1.6640625" style="2" customWidth="1"/>
    <col min="2837" max="2837" width="17.83203125" style="2" customWidth="1"/>
    <col min="2838" max="3073" width="9.33203125" style="2"/>
    <col min="3074" max="3074" width="5.6640625" style="2" customWidth="1"/>
    <col min="3075" max="3075" width="11.6640625" style="2" customWidth="1"/>
    <col min="3076" max="3076" width="48" style="2" customWidth="1"/>
    <col min="3077" max="3077" width="3.83203125" style="2" customWidth="1"/>
    <col min="3078" max="3078" width="2.83203125" style="2" customWidth="1"/>
    <col min="3079" max="3079" width="21.83203125" style="2" customWidth="1"/>
    <col min="3080" max="3080" width="25.5" style="2" customWidth="1"/>
    <col min="3081" max="3081" width="21" style="2" customWidth="1"/>
    <col min="3082" max="3083" width="0" style="2" hidden="1" customWidth="1"/>
    <col min="3084" max="3084" width="18.5" style="2" customWidth="1"/>
    <col min="3085" max="3085" width="20" style="2" bestFit="1" customWidth="1"/>
    <col min="3086" max="3086" width="23.5" style="2" bestFit="1" customWidth="1"/>
    <col min="3087" max="3087" width="0" style="2" hidden="1" customWidth="1"/>
    <col min="3088" max="3088" width="21.33203125" style="2" bestFit="1" customWidth="1"/>
    <col min="3089" max="3089" width="14.5" style="2" bestFit="1" customWidth="1"/>
    <col min="3090" max="3090" width="22.1640625" style="2" customWidth="1"/>
    <col min="3091" max="3091" width="1.5" style="2" customWidth="1"/>
    <col min="3092" max="3092" width="1.6640625" style="2" customWidth="1"/>
    <col min="3093" max="3093" width="17.83203125" style="2" customWidth="1"/>
    <col min="3094" max="3329" width="9.33203125" style="2"/>
    <col min="3330" max="3330" width="5.6640625" style="2" customWidth="1"/>
    <col min="3331" max="3331" width="11.6640625" style="2" customWidth="1"/>
    <col min="3332" max="3332" width="48" style="2" customWidth="1"/>
    <col min="3333" max="3333" width="3.83203125" style="2" customWidth="1"/>
    <col min="3334" max="3334" width="2.83203125" style="2" customWidth="1"/>
    <col min="3335" max="3335" width="21.83203125" style="2" customWidth="1"/>
    <col min="3336" max="3336" width="25.5" style="2" customWidth="1"/>
    <col min="3337" max="3337" width="21" style="2" customWidth="1"/>
    <col min="3338" max="3339" width="0" style="2" hidden="1" customWidth="1"/>
    <col min="3340" max="3340" width="18.5" style="2" customWidth="1"/>
    <col min="3341" max="3341" width="20" style="2" bestFit="1" customWidth="1"/>
    <col min="3342" max="3342" width="23.5" style="2" bestFit="1" customWidth="1"/>
    <col min="3343" max="3343" width="0" style="2" hidden="1" customWidth="1"/>
    <col min="3344" max="3344" width="21.33203125" style="2" bestFit="1" customWidth="1"/>
    <col min="3345" max="3345" width="14.5" style="2" bestFit="1" customWidth="1"/>
    <col min="3346" max="3346" width="22.1640625" style="2" customWidth="1"/>
    <col min="3347" max="3347" width="1.5" style="2" customWidth="1"/>
    <col min="3348" max="3348" width="1.6640625" style="2" customWidth="1"/>
    <col min="3349" max="3349" width="17.83203125" style="2" customWidth="1"/>
    <col min="3350" max="3585" width="9.33203125" style="2"/>
    <col min="3586" max="3586" width="5.6640625" style="2" customWidth="1"/>
    <col min="3587" max="3587" width="11.6640625" style="2" customWidth="1"/>
    <col min="3588" max="3588" width="48" style="2" customWidth="1"/>
    <col min="3589" max="3589" width="3.83203125" style="2" customWidth="1"/>
    <col min="3590" max="3590" width="2.83203125" style="2" customWidth="1"/>
    <col min="3591" max="3591" width="21.83203125" style="2" customWidth="1"/>
    <col min="3592" max="3592" width="25.5" style="2" customWidth="1"/>
    <col min="3593" max="3593" width="21" style="2" customWidth="1"/>
    <col min="3594" max="3595" width="0" style="2" hidden="1" customWidth="1"/>
    <col min="3596" max="3596" width="18.5" style="2" customWidth="1"/>
    <col min="3597" max="3597" width="20" style="2" bestFit="1" customWidth="1"/>
    <col min="3598" max="3598" width="23.5" style="2" bestFit="1" customWidth="1"/>
    <col min="3599" max="3599" width="0" style="2" hidden="1" customWidth="1"/>
    <col min="3600" max="3600" width="21.33203125" style="2" bestFit="1" customWidth="1"/>
    <col min="3601" max="3601" width="14.5" style="2" bestFit="1" customWidth="1"/>
    <col min="3602" max="3602" width="22.1640625" style="2" customWidth="1"/>
    <col min="3603" max="3603" width="1.5" style="2" customWidth="1"/>
    <col min="3604" max="3604" width="1.6640625" style="2" customWidth="1"/>
    <col min="3605" max="3605" width="17.83203125" style="2" customWidth="1"/>
    <col min="3606" max="3841" width="9.33203125" style="2"/>
    <col min="3842" max="3842" width="5.6640625" style="2" customWidth="1"/>
    <col min="3843" max="3843" width="11.6640625" style="2" customWidth="1"/>
    <col min="3844" max="3844" width="48" style="2" customWidth="1"/>
    <col min="3845" max="3845" width="3.83203125" style="2" customWidth="1"/>
    <col min="3846" max="3846" width="2.83203125" style="2" customWidth="1"/>
    <col min="3847" max="3847" width="21.83203125" style="2" customWidth="1"/>
    <col min="3848" max="3848" width="25.5" style="2" customWidth="1"/>
    <col min="3849" max="3849" width="21" style="2" customWidth="1"/>
    <col min="3850" max="3851" width="0" style="2" hidden="1" customWidth="1"/>
    <col min="3852" max="3852" width="18.5" style="2" customWidth="1"/>
    <col min="3853" max="3853" width="20" style="2" bestFit="1" customWidth="1"/>
    <col min="3854" max="3854" width="23.5" style="2" bestFit="1" customWidth="1"/>
    <col min="3855" max="3855" width="0" style="2" hidden="1" customWidth="1"/>
    <col min="3856" max="3856" width="21.33203125" style="2" bestFit="1" customWidth="1"/>
    <col min="3857" max="3857" width="14.5" style="2" bestFit="1" customWidth="1"/>
    <col min="3858" max="3858" width="22.1640625" style="2" customWidth="1"/>
    <col min="3859" max="3859" width="1.5" style="2" customWidth="1"/>
    <col min="3860" max="3860" width="1.6640625" style="2" customWidth="1"/>
    <col min="3861" max="3861" width="17.83203125" style="2" customWidth="1"/>
    <col min="3862" max="4097" width="9.33203125" style="2"/>
    <col min="4098" max="4098" width="5.6640625" style="2" customWidth="1"/>
    <col min="4099" max="4099" width="11.6640625" style="2" customWidth="1"/>
    <col min="4100" max="4100" width="48" style="2" customWidth="1"/>
    <col min="4101" max="4101" width="3.83203125" style="2" customWidth="1"/>
    <col min="4102" max="4102" width="2.83203125" style="2" customWidth="1"/>
    <col min="4103" max="4103" width="21.83203125" style="2" customWidth="1"/>
    <col min="4104" max="4104" width="25.5" style="2" customWidth="1"/>
    <col min="4105" max="4105" width="21" style="2" customWidth="1"/>
    <col min="4106" max="4107" width="0" style="2" hidden="1" customWidth="1"/>
    <col min="4108" max="4108" width="18.5" style="2" customWidth="1"/>
    <col min="4109" max="4109" width="20" style="2" bestFit="1" customWidth="1"/>
    <col min="4110" max="4110" width="23.5" style="2" bestFit="1" customWidth="1"/>
    <col min="4111" max="4111" width="0" style="2" hidden="1" customWidth="1"/>
    <col min="4112" max="4112" width="21.33203125" style="2" bestFit="1" customWidth="1"/>
    <col min="4113" max="4113" width="14.5" style="2" bestFit="1" customWidth="1"/>
    <col min="4114" max="4114" width="22.1640625" style="2" customWidth="1"/>
    <col min="4115" max="4115" width="1.5" style="2" customWidth="1"/>
    <col min="4116" max="4116" width="1.6640625" style="2" customWidth="1"/>
    <col min="4117" max="4117" width="17.83203125" style="2" customWidth="1"/>
    <col min="4118" max="4353" width="9.33203125" style="2"/>
    <col min="4354" max="4354" width="5.6640625" style="2" customWidth="1"/>
    <col min="4355" max="4355" width="11.6640625" style="2" customWidth="1"/>
    <col min="4356" max="4356" width="48" style="2" customWidth="1"/>
    <col min="4357" max="4357" width="3.83203125" style="2" customWidth="1"/>
    <col min="4358" max="4358" width="2.83203125" style="2" customWidth="1"/>
    <col min="4359" max="4359" width="21.83203125" style="2" customWidth="1"/>
    <col min="4360" max="4360" width="25.5" style="2" customWidth="1"/>
    <col min="4361" max="4361" width="21" style="2" customWidth="1"/>
    <col min="4362" max="4363" width="0" style="2" hidden="1" customWidth="1"/>
    <col min="4364" max="4364" width="18.5" style="2" customWidth="1"/>
    <col min="4365" max="4365" width="20" style="2" bestFit="1" customWidth="1"/>
    <col min="4366" max="4366" width="23.5" style="2" bestFit="1" customWidth="1"/>
    <col min="4367" max="4367" width="0" style="2" hidden="1" customWidth="1"/>
    <col min="4368" max="4368" width="21.33203125" style="2" bestFit="1" customWidth="1"/>
    <col min="4369" max="4369" width="14.5" style="2" bestFit="1" customWidth="1"/>
    <col min="4370" max="4370" width="22.1640625" style="2" customWidth="1"/>
    <col min="4371" max="4371" width="1.5" style="2" customWidth="1"/>
    <col min="4372" max="4372" width="1.6640625" style="2" customWidth="1"/>
    <col min="4373" max="4373" width="17.83203125" style="2" customWidth="1"/>
    <col min="4374" max="4609" width="9.33203125" style="2"/>
    <col min="4610" max="4610" width="5.6640625" style="2" customWidth="1"/>
    <col min="4611" max="4611" width="11.6640625" style="2" customWidth="1"/>
    <col min="4612" max="4612" width="48" style="2" customWidth="1"/>
    <col min="4613" max="4613" width="3.83203125" style="2" customWidth="1"/>
    <col min="4614" max="4614" width="2.83203125" style="2" customWidth="1"/>
    <col min="4615" max="4615" width="21.83203125" style="2" customWidth="1"/>
    <col min="4616" max="4616" width="25.5" style="2" customWidth="1"/>
    <col min="4617" max="4617" width="21" style="2" customWidth="1"/>
    <col min="4618" max="4619" width="0" style="2" hidden="1" customWidth="1"/>
    <col min="4620" max="4620" width="18.5" style="2" customWidth="1"/>
    <col min="4621" max="4621" width="20" style="2" bestFit="1" customWidth="1"/>
    <col min="4622" max="4622" width="23.5" style="2" bestFit="1" customWidth="1"/>
    <col min="4623" max="4623" width="0" style="2" hidden="1" customWidth="1"/>
    <col min="4624" max="4624" width="21.33203125" style="2" bestFit="1" customWidth="1"/>
    <col min="4625" max="4625" width="14.5" style="2" bestFit="1" customWidth="1"/>
    <col min="4626" max="4626" width="22.1640625" style="2" customWidth="1"/>
    <col min="4627" max="4627" width="1.5" style="2" customWidth="1"/>
    <col min="4628" max="4628" width="1.6640625" style="2" customWidth="1"/>
    <col min="4629" max="4629" width="17.83203125" style="2" customWidth="1"/>
    <col min="4630" max="4865" width="9.33203125" style="2"/>
    <col min="4866" max="4866" width="5.6640625" style="2" customWidth="1"/>
    <col min="4867" max="4867" width="11.6640625" style="2" customWidth="1"/>
    <col min="4868" max="4868" width="48" style="2" customWidth="1"/>
    <col min="4869" max="4869" width="3.83203125" style="2" customWidth="1"/>
    <col min="4870" max="4870" width="2.83203125" style="2" customWidth="1"/>
    <col min="4871" max="4871" width="21.83203125" style="2" customWidth="1"/>
    <col min="4872" max="4872" width="25.5" style="2" customWidth="1"/>
    <col min="4873" max="4873" width="21" style="2" customWidth="1"/>
    <col min="4874" max="4875" width="0" style="2" hidden="1" customWidth="1"/>
    <col min="4876" max="4876" width="18.5" style="2" customWidth="1"/>
    <col min="4877" max="4877" width="20" style="2" bestFit="1" customWidth="1"/>
    <col min="4878" max="4878" width="23.5" style="2" bestFit="1" customWidth="1"/>
    <col min="4879" max="4879" width="0" style="2" hidden="1" customWidth="1"/>
    <col min="4880" max="4880" width="21.33203125" style="2" bestFit="1" customWidth="1"/>
    <col min="4881" max="4881" width="14.5" style="2" bestFit="1" customWidth="1"/>
    <col min="4882" max="4882" width="22.1640625" style="2" customWidth="1"/>
    <col min="4883" max="4883" width="1.5" style="2" customWidth="1"/>
    <col min="4884" max="4884" width="1.6640625" style="2" customWidth="1"/>
    <col min="4885" max="4885" width="17.83203125" style="2" customWidth="1"/>
    <col min="4886" max="5121" width="9.33203125" style="2"/>
    <col min="5122" max="5122" width="5.6640625" style="2" customWidth="1"/>
    <col min="5123" max="5123" width="11.6640625" style="2" customWidth="1"/>
    <col min="5124" max="5124" width="48" style="2" customWidth="1"/>
    <col min="5125" max="5125" width="3.83203125" style="2" customWidth="1"/>
    <col min="5126" max="5126" width="2.83203125" style="2" customWidth="1"/>
    <col min="5127" max="5127" width="21.83203125" style="2" customWidth="1"/>
    <col min="5128" max="5128" width="25.5" style="2" customWidth="1"/>
    <col min="5129" max="5129" width="21" style="2" customWidth="1"/>
    <col min="5130" max="5131" width="0" style="2" hidden="1" customWidth="1"/>
    <col min="5132" max="5132" width="18.5" style="2" customWidth="1"/>
    <col min="5133" max="5133" width="20" style="2" bestFit="1" customWidth="1"/>
    <col min="5134" max="5134" width="23.5" style="2" bestFit="1" customWidth="1"/>
    <col min="5135" max="5135" width="0" style="2" hidden="1" customWidth="1"/>
    <col min="5136" max="5136" width="21.33203125" style="2" bestFit="1" customWidth="1"/>
    <col min="5137" max="5137" width="14.5" style="2" bestFit="1" customWidth="1"/>
    <col min="5138" max="5138" width="22.1640625" style="2" customWidth="1"/>
    <col min="5139" max="5139" width="1.5" style="2" customWidth="1"/>
    <col min="5140" max="5140" width="1.6640625" style="2" customWidth="1"/>
    <col min="5141" max="5141" width="17.83203125" style="2" customWidth="1"/>
    <col min="5142" max="5377" width="9.33203125" style="2"/>
    <col min="5378" max="5378" width="5.6640625" style="2" customWidth="1"/>
    <col min="5379" max="5379" width="11.6640625" style="2" customWidth="1"/>
    <col min="5380" max="5380" width="48" style="2" customWidth="1"/>
    <col min="5381" max="5381" width="3.83203125" style="2" customWidth="1"/>
    <col min="5382" max="5382" width="2.83203125" style="2" customWidth="1"/>
    <col min="5383" max="5383" width="21.83203125" style="2" customWidth="1"/>
    <col min="5384" max="5384" width="25.5" style="2" customWidth="1"/>
    <col min="5385" max="5385" width="21" style="2" customWidth="1"/>
    <col min="5386" max="5387" width="0" style="2" hidden="1" customWidth="1"/>
    <col min="5388" max="5388" width="18.5" style="2" customWidth="1"/>
    <col min="5389" max="5389" width="20" style="2" bestFit="1" customWidth="1"/>
    <col min="5390" max="5390" width="23.5" style="2" bestFit="1" customWidth="1"/>
    <col min="5391" max="5391" width="0" style="2" hidden="1" customWidth="1"/>
    <col min="5392" max="5392" width="21.33203125" style="2" bestFit="1" customWidth="1"/>
    <col min="5393" max="5393" width="14.5" style="2" bestFit="1" customWidth="1"/>
    <col min="5394" max="5394" width="22.1640625" style="2" customWidth="1"/>
    <col min="5395" max="5395" width="1.5" style="2" customWidth="1"/>
    <col min="5396" max="5396" width="1.6640625" style="2" customWidth="1"/>
    <col min="5397" max="5397" width="17.83203125" style="2" customWidth="1"/>
    <col min="5398" max="5633" width="9.33203125" style="2"/>
    <col min="5634" max="5634" width="5.6640625" style="2" customWidth="1"/>
    <col min="5635" max="5635" width="11.6640625" style="2" customWidth="1"/>
    <col min="5636" max="5636" width="48" style="2" customWidth="1"/>
    <col min="5637" max="5637" width="3.83203125" style="2" customWidth="1"/>
    <col min="5638" max="5638" width="2.83203125" style="2" customWidth="1"/>
    <col min="5639" max="5639" width="21.83203125" style="2" customWidth="1"/>
    <col min="5640" max="5640" width="25.5" style="2" customWidth="1"/>
    <col min="5641" max="5641" width="21" style="2" customWidth="1"/>
    <col min="5642" max="5643" width="0" style="2" hidden="1" customWidth="1"/>
    <col min="5644" max="5644" width="18.5" style="2" customWidth="1"/>
    <col min="5645" max="5645" width="20" style="2" bestFit="1" customWidth="1"/>
    <col min="5646" max="5646" width="23.5" style="2" bestFit="1" customWidth="1"/>
    <col min="5647" max="5647" width="0" style="2" hidden="1" customWidth="1"/>
    <col min="5648" max="5648" width="21.33203125" style="2" bestFit="1" customWidth="1"/>
    <col min="5649" max="5649" width="14.5" style="2" bestFit="1" customWidth="1"/>
    <col min="5650" max="5650" width="22.1640625" style="2" customWidth="1"/>
    <col min="5651" max="5651" width="1.5" style="2" customWidth="1"/>
    <col min="5652" max="5652" width="1.6640625" style="2" customWidth="1"/>
    <col min="5653" max="5653" width="17.83203125" style="2" customWidth="1"/>
    <col min="5654" max="5889" width="9.33203125" style="2"/>
    <col min="5890" max="5890" width="5.6640625" style="2" customWidth="1"/>
    <col min="5891" max="5891" width="11.6640625" style="2" customWidth="1"/>
    <col min="5892" max="5892" width="48" style="2" customWidth="1"/>
    <col min="5893" max="5893" width="3.83203125" style="2" customWidth="1"/>
    <col min="5894" max="5894" width="2.83203125" style="2" customWidth="1"/>
    <col min="5895" max="5895" width="21.83203125" style="2" customWidth="1"/>
    <col min="5896" max="5896" width="25.5" style="2" customWidth="1"/>
    <col min="5897" max="5897" width="21" style="2" customWidth="1"/>
    <col min="5898" max="5899" width="0" style="2" hidden="1" customWidth="1"/>
    <col min="5900" max="5900" width="18.5" style="2" customWidth="1"/>
    <col min="5901" max="5901" width="20" style="2" bestFit="1" customWidth="1"/>
    <col min="5902" max="5902" width="23.5" style="2" bestFit="1" customWidth="1"/>
    <col min="5903" max="5903" width="0" style="2" hidden="1" customWidth="1"/>
    <col min="5904" max="5904" width="21.33203125" style="2" bestFit="1" customWidth="1"/>
    <col min="5905" max="5905" width="14.5" style="2" bestFit="1" customWidth="1"/>
    <col min="5906" max="5906" width="22.1640625" style="2" customWidth="1"/>
    <col min="5907" max="5907" width="1.5" style="2" customWidth="1"/>
    <col min="5908" max="5908" width="1.6640625" style="2" customWidth="1"/>
    <col min="5909" max="5909" width="17.83203125" style="2" customWidth="1"/>
    <col min="5910" max="6145" width="9.33203125" style="2"/>
    <col min="6146" max="6146" width="5.6640625" style="2" customWidth="1"/>
    <col min="6147" max="6147" width="11.6640625" style="2" customWidth="1"/>
    <col min="6148" max="6148" width="48" style="2" customWidth="1"/>
    <col min="6149" max="6149" width="3.83203125" style="2" customWidth="1"/>
    <col min="6150" max="6150" width="2.83203125" style="2" customWidth="1"/>
    <col min="6151" max="6151" width="21.83203125" style="2" customWidth="1"/>
    <col min="6152" max="6152" width="25.5" style="2" customWidth="1"/>
    <col min="6153" max="6153" width="21" style="2" customWidth="1"/>
    <col min="6154" max="6155" width="0" style="2" hidden="1" customWidth="1"/>
    <col min="6156" max="6156" width="18.5" style="2" customWidth="1"/>
    <col min="6157" max="6157" width="20" style="2" bestFit="1" customWidth="1"/>
    <col min="6158" max="6158" width="23.5" style="2" bestFit="1" customWidth="1"/>
    <col min="6159" max="6159" width="0" style="2" hidden="1" customWidth="1"/>
    <col min="6160" max="6160" width="21.33203125" style="2" bestFit="1" customWidth="1"/>
    <col min="6161" max="6161" width="14.5" style="2" bestFit="1" customWidth="1"/>
    <col min="6162" max="6162" width="22.1640625" style="2" customWidth="1"/>
    <col min="6163" max="6163" width="1.5" style="2" customWidth="1"/>
    <col min="6164" max="6164" width="1.6640625" style="2" customWidth="1"/>
    <col min="6165" max="6165" width="17.83203125" style="2" customWidth="1"/>
    <col min="6166" max="6401" width="9.33203125" style="2"/>
    <col min="6402" max="6402" width="5.6640625" style="2" customWidth="1"/>
    <col min="6403" max="6403" width="11.6640625" style="2" customWidth="1"/>
    <col min="6404" max="6404" width="48" style="2" customWidth="1"/>
    <col min="6405" max="6405" width="3.83203125" style="2" customWidth="1"/>
    <col min="6406" max="6406" width="2.83203125" style="2" customWidth="1"/>
    <col min="6407" max="6407" width="21.83203125" style="2" customWidth="1"/>
    <col min="6408" max="6408" width="25.5" style="2" customWidth="1"/>
    <col min="6409" max="6409" width="21" style="2" customWidth="1"/>
    <col min="6410" max="6411" width="0" style="2" hidden="1" customWidth="1"/>
    <col min="6412" max="6412" width="18.5" style="2" customWidth="1"/>
    <col min="6413" max="6413" width="20" style="2" bestFit="1" customWidth="1"/>
    <col min="6414" max="6414" width="23.5" style="2" bestFit="1" customWidth="1"/>
    <col min="6415" max="6415" width="0" style="2" hidden="1" customWidth="1"/>
    <col min="6416" max="6416" width="21.33203125" style="2" bestFit="1" customWidth="1"/>
    <col min="6417" max="6417" width="14.5" style="2" bestFit="1" customWidth="1"/>
    <col min="6418" max="6418" width="22.1640625" style="2" customWidth="1"/>
    <col min="6419" max="6419" width="1.5" style="2" customWidth="1"/>
    <col min="6420" max="6420" width="1.6640625" style="2" customWidth="1"/>
    <col min="6421" max="6421" width="17.83203125" style="2" customWidth="1"/>
    <col min="6422" max="6657" width="9.33203125" style="2"/>
    <col min="6658" max="6658" width="5.6640625" style="2" customWidth="1"/>
    <col min="6659" max="6659" width="11.6640625" style="2" customWidth="1"/>
    <col min="6660" max="6660" width="48" style="2" customWidth="1"/>
    <col min="6661" max="6661" width="3.83203125" style="2" customWidth="1"/>
    <col min="6662" max="6662" width="2.83203125" style="2" customWidth="1"/>
    <col min="6663" max="6663" width="21.83203125" style="2" customWidth="1"/>
    <col min="6664" max="6664" width="25.5" style="2" customWidth="1"/>
    <col min="6665" max="6665" width="21" style="2" customWidth="1"/>
    <col min="6666" max="6667" width="0" style="2" hidden="1" customWidth="1"/>
    <col min="6668" max="6668" width="18.5" style="2" customWidth="1"/>
    <col min="6669" max="6669" width="20" style="2" bestFit="1" customWidth="1"/>
    <col min="6670" max="6670" width="23.5" style="2" bestFit="1" customWidth="1"/>
    <col min="6671" max="6671" width="0" style="2" hidden="1" customWidth="1"/>
    <col min="6672" max="6672" width="21.33203125" style="2" bestFit="1" customWidth="1"/>
    <col min="6673" max="6673" width="14.5" style="2" bestFit="1" customWidth="1"/>
    <col min="6674" max="6674" width="22.1640625" style="2" customWidth="1"/>
    <col min="6675" max="6675" width="1.5" style="2" customWidth="1"/>
    <col min="6676" max="6676" width="1.6640625" style="2" customWidth="1"/>
    <col min="6677" max="6677" width="17.83203125" style="2" customWidth="1"/>
    <col min="6678" max="6913" width="9.33203125" style="2"/>
    <col min="6914" max="6914" width="5.6640625" style="2" customWidth="1"/>
    <col min="6915" max="6915" width="11.6640625" style="2" customWidth="1"/>
    <col min="6916" max="6916" width="48" style="2" customWidth="1"/>
    <col min="6917" max="6917" width="3.83203125" style="2" customWidth="1"/>
    <col min="6918" max="6918" width="2.83203125" style="2" customWidth="1"/>
    <col min="6919" max="6919" width="21.83203125" style="2" customWidth="1"/>
    <col min="6920" max="6920" width="25.5" style="2" customWidth="1"/>
    <col min="6921" max="6921" width="21" style="2" customWidth="1"/>
    <col min="6922" max="6923" width="0" style="2" hidden="1" customWidth="1"/>
    <col min="6924" max="6924" width="18.5" style="2" customWidth="1"/>
    <col min="6925" max="6925" width="20" style="2" bestFit="1" customWidth="1"/>
    <col min="6926" max="6926" width="23.5" style="2" bestFit="1" customWidth="1"/>
    <col min="6927" max="6927" width="0" style="2" hidden="1" customWidth="1"/>
    <col min="6928" max="6928" width="21.33203125" style="2" bestFit="1" customWidth="1"/>
    <col min="6929" max="6929" width="14.5" style="2" bestFit="1" customWidth="1"/>
    <col min="6930" max="6930" width="22.1640625" style="2" customWidth="1"/>
    <col min="6931" max="6931" width="1.5" style="2" customWidth="1"/>
    <col min="6932" max="6932" width="1.6640625" style="2" customWidth="1"/>
    <col min="6933" max="6933" width="17.83203125" style="2" customWidth="1"/>
    <col min="6934" max="7169" width="9.33203125" style="2"/>
    <col min="7170" max="7170" width="5.6640625" style="2" customWidth="1"/>
    <col min="7171" max="7171" width="11.6640625" style="2" customWidth="1"/>
    <col min="7172" max="7172" width="48" style="2" customWidth="1"/>
    <col min="7173" max="7173" width="3.83203125" style="2" customWidth="1"/>
    <col min="7174" max="7174" width="2.83203125" style="2" customWidth="1"/>
    <col min="7175" max="7175" width="21.83203125" style="2" customWidth="1"/>
    <col min="7176" max="7176" width="25.5" style="2" customWidth="1"/>
    <col min="7177" max="7177" width="21" style="2" customWidth="1"/>
    <col min="7178" max="7179" width="0" style="2" hidden="1" customWidth="1"/>
    <col min="7180" max="7180" width="18.5" style="2" customWidth="1"/>
    <col min="7181" max="7181" width="20" style="2" bestFit="1" customWidth="1"/>
    <col min="7182" max="7182" width="23.5" style="2" bestFit="1" customWidth="1"/>
    <col min="7183" max="7183" width="0" style="2" hidden="1" customWidth="1"/>
    <col min="7184" max="7184" width="21.33203125" style="2" bestFit="1" customWidth="1"/>
    <col min="7185" max="7185" width="14.5" style="2" bestFit="1" customWidth="1"/>
    <col min="7186" max="7186" width="22.1640625" style="2" customWidth="1"/>
    <col min="7187" max="7187" width="1.5" style="2" customWidth="1"/>
    <col min="7188" max="7188" width="1.6640625" style="2" customWidth="1"/>
    <col min="7189" max="7189" width="17.83203125" style="2" customWidth="1"/>
    <col min="7190" max="7425" width="9.33203125" style="2"/>
    <col min="7426" max="7426" width="5.6640625" style="2" customWidth="1"/>
    <col min="7427" max="7427" width="11.6640625" style="2" customWidth="1"/>
    <col min="7428" max="7428" width="48" style="2" customWidth="1"/>
    <col min="7429" max="7429" width="3.83203125" style="2" customWidth="1"/>
    <col min="7430" max="7430" width="2.83203125" style="2" customWidth="1"/>
    <col min="7431" max="7431" width="21.83203125" style="2" customWidth="1"/>
    <col min="7432" max="7432" width="25.5" style="2" customWidth="1"/>
    <col min="7433" max="7433" width="21" style="2" customWidth="1"/>
    <col min="7434" max="7435" width="0" style="2" hidden="1" customWidth="1"/>
    <col min="7436" max="7436" width="18.5" style="2" customWidth="1"/>
    <col min="7437" max="7437" width="20" style="2" bestFit="1" customWidth="1"/>
    <col min="7438" max="7438" width="23.5" style="2" bestFit="1" customWidth="1"/>
    <col min="7439" max="7439" width="0" style="2" hidden="1" customWidth="1"/>
    <col min="7440" max="7440" width="21.33203125" style="2" bestFit="1" customWidth="1"/>
    <col min="7441" max="7441" width="14.5" style="2" bestFit="1" customWidth="1"/>
    <col min="7442" max="7442" width="22.1640625" style="2" customWidth="1"/>
    <col min="7443" max="7443" width="1.5" style="2" customWidth="1"/>
    <col min="7444" max="7444" width="1.6640625" style="2" customWidth="1"/>
    <col min="7445" max="7445" width="17.83203125" style="2" customWidth="1"/>
    <col min="7446" max="7681" width="9.33203125" style="2"/>
    <col min="7682" max="7682" width="5.6640625" style="2" customWidth="1"/>
    <col min="7683" max="7683" width="11.6640625" style="2" customWidth="1"/>
    <col min="7684" max="7684" width="48" style="2" customWidth="1"/>
    <col min="7685" max="7685" width="3.83203125" style="2" customWidth="1"/>
    <col min="7686" max="7686" width="2.83203125" style="2" customWidth="1"/>
    <col min="7687" max="7687" width="21.83203125" style="2" customWidth="1"/>
    <col min="7688" max="7688" width="25.5" style="2" customWidth="1"/>
    <col min="7689" max="7689" width="21" style="2" customWidth="1"/>
    <col min="7690" max="7691" width="0" style="2" hidden="1" customWidth="1"/>
    <col min="7692" max="7692" width="18.5" style="2" customWidth="1"/>
    <col min="7693" max="7693" width="20" style="2" bestFit="1" customWidth="1"/>
    <col min="7694" max="7694" width="23.5" style="2" bestFit="1" customWidth="1"/>
    <col min="7695" max="7695" width="0" style="2" hidden="1" customWidth="1"/>
    <col min="7696" max="7696" width="21.33203125" style="2" bestFit="1" customWidth="1"/>
    <col min="7697" max="7697" width="14.5" style="2" bestFit="1" customWidth="1"/>
    <col min="7698" max="7698" width="22.1640625" style="2" customWidth="1"/>
    <col min="7699" max="7699" width="1.5" style="2" customWidth="1"/>
    <col min="7700" max="7700" width="1.6640625" style="2" customWidth="1"/>
    <col min="7701" max="7701" width="17.83203125" style="2" customWidth="1"/>
    <col min="7702" max="7937" width="9.33203125" style="2"/>
    <col min="7938" max="7938" width="5.6640625" style="2" customWidth="1"/>
    <col min="7939" max="7939" width="11.6640625" style="2" customWidth="1"/>
    <col min="7940" max="7940" width="48" style="2" customWidth="1"/>
    <col min="7941" max="7941" width="3.83203125" style="2" customWidth="1"/>
    <col min="7942" max="7942" width="2.83203125" style="2" customWidth="1"/>
    <col min="7943" max="7943" width="21.83203125" style="2" customWidth="1"/>
    <col min="7944" max="7944" width="25.5" style="2" customWidth="1"/>
    <col min="7945" max="7945" width="21" style="2" customWidth="1"/>
    <col min="7946" max="7947" width="0" style="2" hidden="1" customWidth="1"/>
    <col min="7948" max="7948" width="18.5" style="2" customWidth="1"/>
    <col min="7949" max="7949" width="20" style="2" bestFit="1" customWidth="1"/>
    <col min="7950" max="7950" width="23.5" style="2" bestFit="1" customWidth="1"/>
    <col min="7951" max="7951" width="0" style="2" hidden="1" customWidth="1"/>
    <col min="7952" max="7952" width="21.33203125" style="2" bestFit="1" customWidth="1"/>
    <col min="7953" max="7953" width="14.5" style="2" bestFit="1" customWidth="1"/>
    <col min="7954" max="7954" width="22.1640625" style="2" customWidth="1"/>
    <col min="7955" max="7955" width="1.5" style="2" customWidth="1"/>
    <col min="7956" max="7956" width="1.6640625" style="2" customWidth="1"/>
    <col min="7957" max="7957" width="17.83203125" style="2" customWidth="1"/>
    <col min="7958" max="8193" width="9.33203125" style="2"/>
    <col min="8194" max="8194" width="5.6640625" style="2" customWidth="1"/>
    <col min="8195" max="8195" width="11.6640625" style="2" customWidth="1"/>
    <col min="8196" max="8196" width="48" style="2" customWidth="1"/>
    <col min="8197" max="8197" width="3.83203125" style="2" customWidth="1"/>
    <col min="8198" max="8198" width="2.83203125" style="2" customWidth="1"/>
    <col min="8199" max="8199" width="21.83203125" style="2" customWidth="1"/>
    <col min="8200" max="8200" width="25.5" style="2" customWidth="1"/>
    <col min="8201" max="8201" width="21" style="2" customWidth="1"/>
    <col min="8202" max="8203" width="0" style="2" hidden="1" customWidth="1"/>
    <col min="8204" max="8204" width="18.5" style="2" customWidth="1"/>
    <col min="8205" max="8205" width="20" style="2" bestFit="1" customWidth="1"/>
    <col min="8206" max="8206" width="23.5" style="2" bestFit="1" customWidth="1"/>
    <col min="8207" max="8207" width="0" style="2" hidden="1" customWidth="1"/>
    <col min="8208" max="8208" width="21.33203125" style="2" bestFit="1" customWidth="1"/>
    <col min="8209" max="8209" width="14.5" style="2" bestFit="1" customWidth="1"/>
    <col min="8210" max="8210" width="22.1640625" style="2" customWidth="1"/>
    <col min="8211" max="8211" width="1.5" style="2" customWidth="1"/>
    <col min="8212" max="8212" width="1.6640625" style="2" customWidth="1"/>
    <col min="8213" max="8213" width="17.83203125" style="2" customWidth="1"/>
    <col min="8214" max="8449" width="9.33203125" style="2"/>
    <col min="8450" max="8450" width="5.6640625" style="2" customWidth="1"/>
    <col min="8451" max="8451" width="11.6640625" style="2" customWidth="1"/>
    <col min="8452" max="8452" width="48" style="2" customWidth="1"/>
    <col min="8453" max="8453" width="3.83203125" style="2" customWidth="1"/>
    <col min="8454" max="8454" width="2.83203125" style="2" customWidth="1"/>
    <col min="8455" max="8455" width="21.83203125" style="2" customWidth="1"/>
    <col min="8456" max="8456" width="25.5" style="2" customWidth="1"/>
    <col min="8457" max="8457" width="21" style="2" customWidth="1"/>
    <col min="8458" max="8459" width="0" style="2" hidden="1" customWidth="1"/>
    <col min="8460" max="8460" width="18.5" style="2" customWidth="1"/>
    <col min="8461" max="8461" width="20" style="2" bestFit="1" customWidth="1"/>
    <col min="8462" max="8462" width="23.5" style="2" bestFit="1" customWidth="1"/>
    <col min="8463" max="8463" width="0" style="2" hidden="1" customWidth="1"/>
    <col min="8464" max="8464" width="21.33203125" style="2" bestFit="1" customWidth="1"/>
    <col min="8465" max="8465" width="14.5" style="2" bestFit="1" customWidth="1"/>
    <col min="8466" max="8466" width="22.1640625" style="2" customWidth="1"/>
    <col min="8467" max="8467" width="1.5" style="2" customWidth="1"/>
    <col min="8468" max="8468" width="1.6640625" style="2" customWidth="1"/>
    <col min="8469" max="8469" width="17.83203125" style="2" customWidth="1"/>
    <col min="8470" max="8705" width="9.33203125" style="2"/>
    <col min="8706" max="8706" width="5.6640625" style="2" customWidth="1"/>
    <col min="8707" max="8707" width="11.6640625" style="2" customWidth="1"/>
    <col min="8708" max="8708" width="48" style="2" customWidth="1"/>
    <col min="8709" max="8709" width="3.83203125" style="2" customWidth="1"/>
    <col min="8710" max="8710" width="2.83203125" style="2" customWidth="1"/>
    <col min="8711" max="8711" width="21.83203125" style="2" customWidth="1"/>
    <col min="8712" max="8712" width="25.5" style="2" customWidth="1"/>
    <col min="8713" max="8713" width="21" style="2" customWidth="1"/>
    <col min="8714" max="8715" width="0" style="2" hidden="1" customWidth="1"/>
    <col min="8716" max="8716" width="18.5" style="2" customWidth="1"/>
    <col min="8717" max="8717" width="20" style="2" bestFit="1" customWidth="1"/>
    <col min="8718" max="8718" width="23.5" style="2" bestFit="1" customWidth="1"/>
    <col min="8719" max="8719" width="0" style="2" hidden="1" customWidth="1"/>
    <col min="8720" max="8720" width="21.33203125" style="2" bestFit="1" customWidth="1"/>
    <col min="8721" max="8721" width="14.5" style="2" bestFit="1" customWidth="1"/>
    <col min="8722" max="8722" width="22.1640625" style="2" customWidth="1"/>
    <col min="8723" max="8723" width="1.5" style="2" customWidth="1"/>
    <col min="8724" max="8724" width="1.6640625" style="2" customWidth="1"/>
    <col min="8725" max="8725" width="17.83203125" style="2" customWidth="1"/>
    <col min="8726" max="8961" width="9.33203125" style="2"/>
    <col min="8962" max="8962" width="5.6640625" style="2" customWidth="1"/>
    <col min="8963" max="8963" width="11.6640625" style="2" customWidth="1"/>
    <col min="8964" max="8964" width="48" style="2" customWidth="1"/>
    <col min="8965" max="8965" width="3.83203125" style="2" customWidth="1"/>
    <col min="8966" max="8966" width="2.83203125" style="2" customWidth="1"/>
    <col min="8967" max="8967" width="21.83203125" style="2" customWidth="1"/>
    <col min="8968" max="8968" width="25.5" style="2" customWidth="1"/>
    <col min="8969" max="8969" width="21" style="2" customWidth="1"/>
    <col min="8970" max="8971" width="0" style="2" hidden="1" customWidth="1"/>
    <col min="8972" max="8972" width="18.5" style="2" customWidth="1"/>
    <col min="8973" max="8973" width="20" style="2" bestFit="1" customWidth="1"/>
    <col min="8974" max="8974" width="23.5" style="2" bestFit="1" customWidth="1"/>
    <col min="8975" max="8975" width="0" style="2" hidden="1" customWidth="1"/>
    <col min="8976" max="8976" width="21.33203125" style="2" bestFit="1" customWidth="1"/>
    <col min="8977" max="8977" width="14.5" style="2" bestFit="1" customWidth="1"/>
    <col min="8978" max="8978" width="22.1640625" style="2" customWidth="1"/>
    <col min="8979" max="8979" width="1.5" style="2" customWidth="1"/>
    <col min="8980" max="8980" width="1.6640625" style="2" customWidth="1"/>
    <col min="8981" max="8981" width="17.83203125" style="2" customWidth="1"/>
    <col min="8982" max="9217" width="9.33203125" style="2"/>
    <col min="9218" max="9218" width="5.6640625" style="2" customWidth="1"/>
    <col min="9219" max="9219" width="11.6640625" style="2" customWidth="1"/>
    <col min="9220" max="9220" width="48" style="2" customWidth="1"/>
    <col min="9221" max="9221" width="3.83203125" style="2" customWidth="1"/>
    <col min="9222" max="9222" width="2.83203125" style="2" customWidth="1"/>
    <col min="9223" max="9223" width="21.83203125" style="2" customWidth="1"/>
    <col min="9224" max="9224" width="25.5" style="2" customWidth="1"/>
    <col min="9225" max="9225" width="21" style="2" customWidth="1"/>
    <col min="9226" max="9227" width="0" style="2" hidden="1" customWidth="1"/>
    <col min="9228" max="9228" width="18.5" style="2" customWidth="1"/>
    <col min="9229" max="9229" width="20" style="2" bestFit="1" customWidth="1"/>
    <col min="9230" max="9230" width="23.5" style="2" bestFit="1" customWidth="1"/>
    <col min="9231" max="9231" width="0" style="2" hidden="1" customWidth="1"/>
    <col min="9232" max="9232" width="21.33203125" style="2" bestFit="1" customWidth="1"/>
    <col min="9233" max="9233" width="14.5" style="2" bestFit="1" customWidth="1"/>
    <col min="9234" max="9234" width="22.1640625" style="2" customWidth="1"/>
    <col min="9235" max="9235" width="1.5" style="2" customWidth="1"/>
    <col min="9236" max="9236" width="1.6640625" style="2" customWidth="1"/>
    <col min="9237" max="9237" width="17.83203125" style="2" customWidth="1"/>
    <col min="9238" max="9473" width="9.33203125" style="2"/>
    <col min="9474" max="9474" width="5.6640625" style="2" customWidth="1"/>
    <col min="9475" max="9475" width="11.6640625" style="2" customWidth="1"/>
    <col min="9476" max="9476" width="48" style="2" customWidth="1"/>
    <col min="9477" max="9477" width="3.83203125" style="2" customWidth="1"/>
    <col min="9478" max="9478" width="2.83203125" style="2" customWidth="1"/>
    <col min="9479" max="9479" width="21.83203125" style="2" customWidth="1"/>
    <col min="9480" max="9480" width="25.5" style="2" customWidth="1"/>
    <col min="9481" max="9481" width="21" style="2" customWidth="1"/>
    <col min="9482" max="9483" width="0" style="2" hidden="1" customWidth="1"/>
    <col min="9484" max="9484" width="18.5" style="2" customWidth="1"/>
    <col min="9485" max="9485" width="20" style="2" bestFit="1" customWidth="1"/>
    <col min="9486" max="9486" width="23.5" style="2" bestFit="1" customWidth="1"/>
    <col min="9487" max="9487" width="0" style="2" hidden="1" customWidth="1"/>
    <col min="9488" max="9488" width="21.33203125" style="2" bestFit="1" customWidth="1"/>
    <col min="9489" max="9489" width="14.5" style="2" bestFit="1" customWidth="1"/>
    <col min="9490" max="9490" width="22.1640625" style="2" customWidth="1"/>
    <col min="9491" max="9491" width="1.5" style="2" customWidth="1"/>
    <col min="9492" max="9492" width="1.6640625" style="2" customWidth="1"/>
    <col min="9493" max="9493" width="17.83203125" style="2" customWidth="1"/>
    <col min="9494" max="9729" width="9.33203125" style="2"/>
    <col min="9730" max="9730" width="5.6640625" style="2" customWidth="1"/>
    <col min="9731" max="9731" width="11.6640625" style="2" customWidth="1"/>
    <col min="9732" max="9732" width="48" style="2" customWidth="1"/>
    <col min="9733" max="9733" width="3.83203125" style="2" customWidth="1"/>
    <col min="9734" max="9734" width="2.83203125" style="2" customWidth="1"/>
    <col min="9735" max="9735" width="21.83203125" style="2" customWidth="1"/>
    <col min="9736" max="9736" width="25.5" style="2" customWidth="1"/>
    <col min="9737" max="9737" width="21" style="2" customWidth="1"/>
    <col min="9738" max="9739" width="0" style="2" hidden="1" customWidth="1"/>
    <col min="9740" max="9740" width="18.5" style="2" customWidth="1"/>
    <col min="9741" max="9741" width="20" style="2" bestFit="1" customWidth="1"/>
    <col min="9742" max="9742" width="23.5" style="2" bestFit="1" customWidth="1"/>
    <col min="9743" max="9743" width="0" style="2" hidden="1" customWidth="1"/>
    <col min="9744" max="9744" width="21.33203125" style="2" bestFit="1" customWidth="1"/>
    <col min="9745" max="9745" width="14.5" style="2" bestFit="1" customWidth="1"/>
    <col min="9746" max="9746" width="22.1640625" style="2" customWidth="1"/>
    <col min="9747" max="9747" width="1.5" style="2" customWidth="1"/>
    <col min="9748" max="9748" width="1.6640625" style="2" customWidth="1"/>
    <col min="9749" max="9749" width="17.83203125" style="2" customWidth="1"/>
    <col min="9750" max="9985" width="9.33203125" style="2"/>
    <col min="9986" max="9986" width="5.6640625" style="2" customWidth="1"/>
    <col min="9987" max="9987" width="11.6640625" style="2" customWidth="1"/>
    <col min="9988" max="9988" width="48" style="2" customWidth="1"/>
    <col min="9989" max="9989" width="3.83203125" style="2" customWidth="1"/>
    <col min="9990" max="9990" width="2.83203125" style="2" customWidth="1"/>
    <col min="9991" max="9991" width="21.83203125" style="2" customWidth="1"/>
    <col min="9992" max="9992" width="25.5" style="2" customWidth="1"/>
    <col min="9993" max="9993" width="21" style="2" customWidth="1"/>
    <col min="9994" max="9995" width="0" style="2" hidden="1" customWidth="1"/>
    <col min="9996" max="9996" width="18.5" style="2" customWidth="1"/>
    <col min="9997" max="9997" width="20" style="2" bestFit="1" customWidth="1"/>
    <col min="9998" max="9998" width="23.5" style="2" bestFit="1" customWidth="1"/>
    <col min="9999" max="9999" width="0" style="2" hidden="1" customWidth="1"/>
    <col min="10000" max="10000" width="21.33203125" style="2" bestFit="1" customWidth="1"/>
    <col min="10001" max="10001" width="14.5" style="2" bestFit="1" customWidth="1"/>
    <col min="10002" max="10002" width="22.1640625" style="2" customWidth="1"/>
    <col min="10003" max="10003" width="1.5" style="2" customWidth="1"/>
    <col min="10004" max="10004" width="1.6640625" style="2" customWidth="1"/>
    <col min="10005" max="10005" width="17.83203125" style="2" customWidth="1"/>
    <col min="10006" max="10241" width="9.33203125" style="2"/>
    <col min="10242" max="10242" width="5.6640625" style="2" customWidth="1"/>
    <col min="10243" max="10243" width="11.6640625" style="2" customWidth="1"/>
    <col min="10244" max="10244" width="48" style="2" customWidth="1"/>
    <col min="10245" max="10245" width="3.83203125" style="2" customWidth="1"/>
    <col min="10246" max="10246" width="2.83203125" style="2" customWidth="1"/>
    <col min="10247" max="10247" width="21.83203125" style="2" customWidth="1"/>
    <col min="10248" max="10248" width="25.5" style="2" customWidth="1"/>
    <col min="10249" max="10249" width="21" style="2" customWidth="1"/>
    <col min="10250" max="10251" width="0" style="2" hidden="1" customWidth="1"/>
    <col min="10252" max="10252" width="18.5" style="2" customWidth="1"/>
    <col min="10253" max="10253" width="20" style="2" bestFit="1" customWidth="1"/>
    <col min="10254" max="10254" width="23.5" style="2" bestFit="1" customWidth="1"/>
    <col min="10255" max="10255" width="0" style="2" hidden="1" customWidth="1"/>
    <col min="10256" max="10256" width="21.33203125" style="2" bestFit="1" customWidth="1"/>
    <col min="10257" max="10257" width="14.5" style="2" bestFit="1" customWidth="1"/>
    <col min="10258" max="10258" width="22.1640625" style="2" customWidth="1"/>
    <col min="10259" max="10259" width="1.5" style="2" customWidth="1"/>
    <col min="10260" max="10260" width="1.6640625" style="2" customWidth="1"/>
    <col min="10261" max="10261" width="17.83203125" style="2" customWidth="1"/>
    <col min="10262" max="10497" width="9.33203125" style="2"/>
    <col min="10498" max="10498" width="5.6640625" style="2" customWidth="1"/>
    <col min="10499" max="10499" width="11.6640625" style="2" customWidth="1"/>
    <col min="10500" max="10500" width="48" style="2" customWidth="1"/>
    <col min="10501" max="10501" width="3.83203125" style="2" customWidth="1"/>
    <col min="10502" max="10502" width="2.83203125" style="2" customWidth="1"/>
    <col min="10503" max="10503" width="21.83203125" style="2" customWidth="1"/>
    <col min="10504" max="10504" width="25.5" style="2" customWidth="1"/>
    <col min="10505" max="10505" width="21" style="2" customWidth="1"/>
    <col min="10506" max="10507" width="0" style="2" hidden="1" customWidth="1"/>
    <col min="10508" max="10508" width="18.5" style="2" customWidth="1"/>
    <col min="10509" max="10509" width="20" style="2" bestFit="1" customWidth="1"/>
    <col min="10510" max="10510" width="23.5" style="2" bestFit="1" customWidth="1"/>
    <col min="10511" max="10511" width="0" style="2" hidden="1" customWidth="1"/>
    <col min="10512" max="10512" width="21.33203125" style="2" bestFit="1" customWidth="1"/>
    <col min="10513" max="10513" width="14.5" style="2" bestFit="1" customWidth="1"/>
    <col min="10514" max="10514" width="22.1640625" style="2" customWidth="1"/>
    <col min="10515" max="10515" width="1.5" style="2" customWidth="1"/>
    <col min="10516" max="10516" width="1.6640625" style="2" customWidth="1"/>
    <col min="10517" max="10517" width="17.83203125" style="2" customWidth="1"/>
    <col min="10518" max="10753" width="9.33203125" style="2"/>
    <col min="10754" max="10754" width="5.6640625" style="2" customWidth="1"/>
    <col min="10755" max="10755" width="11.6640625" style="2" customWidth="1"/>
    <col min="10756" max="10756" width="48" style="2" customWidth="1"/>
    <col min="10757" max="10757" width="3.83203125" style="2" customWidth="1"/>
    <col min="10758" max="10758" width="2.83203125" style="2" customWidth="1"/>
    <col min="10759" max="10759" width="21.83203125" style="2" customWidth="1"/>
    <col min="10760" max="10760" width="25.5" style="2" customWidth="1"/>
    <col min="10761" max="10761" width="21" style="2" customWidth="1"/>
    <col min="10762" max="10763" width="0" style="2" hidden="1" customWidth="1"/>
    <col min="10764" max="10764" width="18.5" style="2" customWidth="1"/>
    <col min="10765" max="10765" width="20" style="2" bestFit="1" customWidth="1"/>
    <col min="10766" max="10766" width="23.5" style="2" bestFit="1" customWidth="1"/>
    <col min="10767" max="10767" width="0" style="2" hidden="1" customWidth="1"/>
    <col min="10768" max="10768" width="21.33203125" style="2" bestFit="1" customWidth="1"/>
    <col min="10769" max="10769" width="14.5" style="2" bestFit="1" customWidth="1"/>
    <col min="10770" max="10770" width="22.1640625" style="2" customWidth="1"/>
    <col min="10771" max="10771" width="1.5" style="2" customWidth="1"/>
    <col min="10772" max="10772" width="1.6640625" style="2" customWidth="1"/>
    <col min="10773" max="10773" width="17.83203125" style="2" customWidth="1"/>
    <col min="10774" max="11009" width="9.33203125" style="2"/>
    <col min="11010" max="11010" width="5.6640625" style="2" customWidth="1"/>
    <col min="11011" max="11011" width="11.6640625" style="2" customWidth="1"/>
    <col min="11012" max="11012" width="48" style="2" customWidth="1"/>
    <col min="11013" max="11013" width="3.83203125" style="2" customWidth="1"/>
    <col min="11014" max="11014" width="2.83203125" style="2" customWidth="1"/>
    <col min="11015" max="11015" width="21.83203125" style="2" customWidth="1"/>
    <col min="11016" max="11016" width="25.5" style="2" customWidth="1"/>
    <col min="11017" max="11017" width="21" style="2" customWidth="1"/>
    <col min="11018" max="11019" width="0" style="2" hidden="1" customWidth="1"/>
    <col min="11020" max="11020" width="18.5" style="2" customWidth="1"/>
    <col min="11021" max="11021" width="20" style="2" bestFit="1" customWidth="1"/>
    <col min="11022" max="11022" width="23.5" style="2" bestFit="1" customWidth="1"/>
    <col min="11023" max="11023" width="0" style="2" hidden="1" customWidth="1"/>
    <col min="11024" max="11024" width="21.33203125" style="2" bestFit="1" customWidth="1"/>
    <col min="11025" max="11025" width="14.5" style="2" bestFit="1" customWidth="1"/>
    <col min="11026" max="11026" width="22.1640625" style="2" customWidth="1"/>
    <col min="11027" max="11027" width="1.5" style="2" customWidth="1"/>
    <col min="11028" max="11028" width="1.6640625" style="2" customWidth="1"/>
    <col min="11029" max="11029" width="17.83203125" style="2" customWidth="1"/>
    <col min="11030" max="11265" width="9.33203125" style="2"/>
    <col min="11266" max="11266" width="5.6640625" style="2" customWidth="1"/>
    <col min="11267" max="11267" width="11.6640625" style="2" customWidth="1"/>
    <col min="11268" max="11268" width="48" style="2" customWidth="1"/>
    <col min="11269" max="11269" width="3.83203125" style="2" customWidth="1"/>
    <col min="11270" max="11270" width="2.83203125" style="2" customWidth="1"/>
    <col min="11271" max="11271" width="21.83203125" style="2" customWidth="1"/>
    <col min="11272" max="11272" width="25.5" style="2" customWidth="1"/>
    <col min="11273" max="11273" width="21" style="2" customWidth="1"/>
    <col min="11274" max="11275" width="0" style="2" hidden="1" customWidth="1"/>
    <col min="11276" max="11276" width="18.5" style="2" customWidth="1"/>
    <col min="11277" max="11277" width="20" style="2" bestFit="1" customWidth="1"/>
    <col min="11278" max="11278" width="23.5" style="2" bestFit="1" customWidth="1"/>
    <col min="11279" max="11279" width="0" style="2" hidden="1" customWidth="1"/>
    <col min="11280" max="11280" width="21.33203125" style="2" bestFit="1" customWidth="1"/>
    <col min="11281" max="11281" width="14.5" style="2" bestFit="1" customWidth="1"/>
    <col min="11282" max="11282" width="22.1640625" style="2" customWidth="1"/>
    <col min="11283" max="11283" width="1.5" style="2" customWidth="1"/>
    <col min="11284" max="11284" width="1.6640625" style="2" customWidth="1"/>
    <col min="11285" max="11285" width="17.83203125" style="2" customWidth="1"/>
    <col min="11286" max="11521" width="9.33203125" style="2"/>
    <col min="11522" max="11522" width="5.6640625" style="2" customWidth="1"/>
    <col min="11523" max="11523" width="11.6640625" style="2" customWidth="1"/>
    <col min="11524" max="11524" width="48" style="2" customWidth="1"/>
    <col min="11525" max="11525" width="3.83203125" style="2" customWidth="1"/>
    <col min="11526" max="11526" width="2.83203125" style="2" customWidth="1"/>
    <col min="11527" max="11527" width="21.83203125" style="2" customWidth="1"/>
    <col min="11528" max="11528" width="25.5" style="2" customWidth="1"/>
    <col min="11529" max="11529" width="21" style="2" customWidth="1"/>
    <col min="11530" max="11531" width="0" style="2" hidden="1" customWidth="1"/>
    <col min="11532" max="11532" width="18.5" style="2" customWidth="1"/>
    <col min="11533" max="11533" width="20" style="2" bestFit="1" customWidth="1"/>
    <col min="11534" max="11534" width="23.5" style="2" bestFit="1" customWidth="1"/>
    <col min="11535" max="11535" width="0" style="2" hidden="1" customWidth="1"/>
    <col min="11536" max="11536" width="21.33203125" style="2" bestFit="1" customWidth="1"/>
    <col min="11537" max="11537" width="14.5" style="2" bestFit="1" customWidth="1"/>
    <col min="11538" max="11538" width="22.1640625" style="2" customWidth="1"/>
    <col min="11539" max="11539" width="1.5" style="2" customWidth="1"/>
    <col min="11540" max="11540" width="1.6640625" style="2" customWidth="1"/>
    <col min="11541" max="11541" width="17.83203125" style="2" customWidth="1"/>
    <col min="11542" max="11777" width="9.33203125" style="2"/>
    <col min="11778" max="11778" width="5.6640625" style="2" customWidth="1"/>
    <col min="11779" max="11779" width="11.6640625" style="2" customWidth="1"/>
    <col min="11780" max="11780" width="48" style="2" customWidth="1"/>
    <col min="11781" max="11781" width="3.83203125" style="2" customWidth="1"/>
    <col min="11782" max="11782" width="2.83203125" style="2" customWidth="1"/>
    <col min="11783" max="11783" width="21.83203125" style="2" customWidth="1"/>
    <col min="11784" max="11784" width="25.5" style="2" customWidth="1"/>
    <col min="11785" max="11785" width="21" style="2" customWidth="1"/>
    <col min="11786" max="11787" width="0" style="2" hidden="1" customWidth="1"/>
    <col min="11788" max="11788" width="18.5" style="2" customWidth="1"/>
    <col min="11789" max="11789" width="20" style="2" bestFit="1" customWidth="1"/>
    <col min="11790" max="11790" width="23.5" style="2" bestFit="1" customWidth="1"/>
    <col min="11791" max="11791" width="0" style="2" hidden="1" customWidth="1"/>
    <col min="11792" max="11792" width="21.33203125" style="2" bestFit="1" customWidth="1"/>
    <col min="11793" max="11793" width="14.5" style="2" bestFit="1" customWidth="1"/>
    <col min="11794" max="11794" width="22.1640625" style="2" customWidth="1"/>
    <col min="11795" max="11795" width="1.5" style="2" customWidth="1"/>
    <col min="11796" max="11796" width="1.6640625" style="2" customWidth="1"/>
    <col min="11797" max="11797" width="17.83203125" style="2" customWidth="1"/>
    <col min="11798" max="12033" width="9.33203125" style="2"/>
    <col min="12034" max="12034" width="5.6640625" style="2" customWidth="1"/>
    <col min="12035" max="12035" width="11.6640625" style="2" customWidth="1"/>
    <col min="12036" max="12036" width="48" style="2" customWidth="1"/>
    <col min="12037" max="12037" width="3.83203125" style="2" customWidth="1"/>
    <col min="12038" max="12038" width="2.83203125" style="2" customWidth="1"/>
    <col min="12039" max="12039" width="21.83203125" style="2" customWidth="1"/>
    <col min="12040" max="12040" width="25.5" style="2" customWidth="1"/>
    <col min="12041" max="12041" width="21" style="2" customWidth="1"/>
    <col min="12042" max="12043" width="0" style="2" hidden="1" customWidth="1"/>
    <col min="12044" max="12044" width="18.5" style="2" customWidth="1"/>
    <col min="12045" max="12045" width="20" style="2" bestFit="1" customWidth="1"/>
    <col min="12046" max="12046" width="23.5" style="2" bestFit="1" customWidth="1"/>
    <col min="12047" max="12047" width="0" style="2" hidden="1" customWidth="1"/>
    <col min="12048" max="12048" width="21.33203125" style="2" bestFit="1" customWidth="1"/>
    <col min="12049" max="12049" width="14.5" style="2" bestFit="1" customWidth="1"/>
    <col min="12050" max="12050" width="22.1640625" style="2" customWidth="1"/>
    <col min="12051" max="12051" width="1.5" style="2" customWidth="1"/>
    <col min="12052" max="12052" width="1.6640625" style="2" customWidth="1"/>
    <col min="12053" max="12053" width="17.83203125" style="2" customWidth="1"/>
    <col min="12054" max="12289" width="9.33203125" style="2"/>
    <col min="12290" max="12290" width="5.6640625" style="2" customWidth="1"/>
    <col min="12291" max="12291" width="11.6640625" style="2" customWidth="1"/>
    <col min="12292" max="12292" width="48" style="2" customWidth="1"/>
    <col min="12293" max="12293" width="3.83203125" style="2" customWidth="1"/>
    <col min="12294" max="12294" width="2.83203125" style="2" customWidth="1"/>
    <col min="12295" max="12295" width="21.83203125" style="2" customWidth="1"/>
    <col min="12296" max="12296" width="25.5" style="2" customWidth="1"/>
    <col min="12297" max="12297" width="21" style="2" customWidth="1"/>
    <col min="12298" max="12299" width="0" style="2" hidden="1" customWidth="1"/>
    <col min="12300" max="12300" width="18.5" style="2" customWidth="1"/>
    <col min="12301" max="12301" width="20" style="2" bestFit="1" customWidth="1"/>
    <col min="12302" max="12302" width="23.5" style="2" bestFit="1" customWidth="1"/>
    <col min="12303" max="12303" width="0" style="2" hidden="1" customWidth="1"/>
    <col min="12304" max="12304" width="21.33203125" style="2" bestFit="1" customWidth="1"/>
    <col min="12305" max="12305" width="14.5" style="2" bestFit="1" customWidth="1"/>
    <col min="12306" max="12306" width="22.1640625" style="2" customWidth="1"/>
    <col min="12307" max="12307" width="1.5" style="2" customWidth="1"/>
    <col min="12308" max="12308" width="1.6640625" style="2" customWidth="1"/>
    <col min="12309" max="12309" width="17.83203125" style="2" customWidth="1"/>
    <col min="12310" max="12545" width="9.33203125" style="2"/>
    <col min="12546" max="12546" width="5.6640625" style="2" customWidth="1"/>
    <col min="12547" max="12547" width="11.6640625" style="2" customWidth="1"/>
    <col min="12548" max="12548" width="48" style="2" customWidth="1"/>
    <col min="12549" max="12549" width="3.83203125" style="2" customWidth="1"/>
    <col min="12550" max="12550" width="2.83203125" style="2" customWidth="1"/>
    <col min="12551" max="12551" width="21.83203125" style="2" customWidth="1"/>
    <col min="12552" max="12552" width="25.5" style="2" customWidth="1"/>
    <col min="12553" max="12553" width="21" style="2" customWidth="1"/>
    <col min="12554" max="12555" width="0" style="2" hidden="1" customWidth="1"/>
    <col min="12556" max="12556" width="18.5" style="2" customWidth="1"/>
    <col min="12557" max="12557" width="20" style="2" bestFit="1" customWidth="1"/>
    <col min="12558" max="12558" width="23.5" style="2" bestFit="1" customWidth="1"/>
    <col min="12559" max="12559" width="0" style="2" hidden="1" customWidth="1"/>
    <col min="12560" max="12560" width="21.33203125" style="2" bestFit="1" customWidth="1"/>
    <col min="12561" max="12561" width="14.5" style="2" bestFit="1" customWidth="1"/>
    <col min="12562" max="12562" width="22.1640625" style="2" customWidth="1"/>
    <col min="12563" max="12563" width="1.5" style="2" customWidth="1"/>
    <col min="12564" max="12564" width="1.6640625" style="2" customWidth="1"/>
    <col min="12565" max="12565" width="17.83203125" style="2" customWidth="1"/>
    <col min="12566" max="12801" width="9.33203125" style="2"/>
    <col min="12802" max="12802" width="5.6640625" style="2" customWidth="1"/>
    <col min="12803" max="12803" width="11.6640625" style="2" customWidth="1"/>
    <col min="12804" max="12804" width="48" style="2" customWidth="1"/>
    <col min="12805" max="12805" width="3.83203125" style="2" customWidth="1"/>
    <col min="12806" max="12806" width="2.83203125" style="2" customWidth="1"/>
    <col min="12807" max="12807" width="21.83203125" style="2" customWidth="1"/>
    <col min="12808" max="12808" width="25.5" style="2" customWidth="1"/>
    <col min="12809" max="12809" width="21" style="2" customWidth="1"/>
    <col min="12810" max="12811" width="0" style="2" hidden="1" customWidth="1"/>
    <col min="12812" max="12812" width="18.5" style="2" customWidth="1"/>
    <col min="12813" max="12813" width="20" style="2" bestFit="1" customWidth="1"/>
    <col min="12814" max="12814" width="23.5" style="2" bestFit="1" customWidth="1"/>
    <col min="12815" max="12815" width="0" style="2" hidden="1" customWidth="1"/>
    <col min="12816" max="12816" width="21.33203125" style="2" bestFit="1" customWidth="1"/>
    <col min="12817" max="12817" width="14.5" style="2" bestFit="1" customWidth="1"/>
    <col min="12818" max="12818" width="22.1640625" style="2" customWidth="1"/>
    <col min="12819" max="12819" width="1.5" style="2" customWidth="1"/>
    <col min="12820" max="12820" width="1.6640625" style="2" customWidth="1"/>
    <col min="12821" max="12821" width="17.83203125" style="2" customWidth="1"/>
    <col min="12822" max="13057" width="9.33203125" style="2"/>
    <col min="13058" max="13058" width="5.6640625" style="2" customWidth="1"/>
    <col min="13059" max="13059" width="11.6640625" style="2" customWidth="1"/>
    <col min="13060" max="13060" width="48" style="2" customWidth="1"/>
    <col min="13061" max="13061" width="3.83203125" style="2" customWidth="1"/>
    <col min="13062" max="13062" width="2.83203125" style="2" customWidth="1"/>
    <col min="13063" max="13063" width="21.83203125" style="2" customWidth="1"/>
    <col min="13064" max="13064" width="25.5" style="2" customWidth="1"/>
    <col min="13065" max="13065" width="21" style="2" customWidth="1"/>
    <col min="13066" max="13067" width="0" style="2" hidden="1" customWidth="1"/>
    <col min="13068" max="13068" width="18.5" style="2" customWidth="1"/>
    <col min="13069" max="13069" width="20" style="2" bestFit="1" customWidth="1"/>
    <col min="13070" max="13070" width="23.5" style="2" bestFit="1" customWidth="1"/>
    <col min="13071" max="13071" width="0" style="2" hidden="1" customWidth="1"/>
    <col min="13072" max="13072" width="21.33203125" style="2" bestFit="1" customWidth="1"/>
    <col min="13073" max="13073" width="14.5" style="2" bestFit="1" customWidth="1"/>
    <col min="13074" max="13074" width="22.1640625" style="2" customWidth="1"/>
    <col min="13075" max="13075" width="1.5" style="2" customWidth="1"/>
    <col min="13076" max="13076" width="1.6640625" style="2" customWidth="1"/>
    <col min="13077" max="13077" width="17.83203125" style="2" customWidth="1"/>
    <col min="13078" max="13313" width="9.33203125" style="2"/>
    <col min="13314" max="13314" width="5.6640625" style="2" customWidth="1"/>
    <col min="13315" max="13315" width="11.6640625" style="2" customWidth="1"/>
    <col min="13316" max="13316" width="48" style="2" customWidth="1"/>
    <col min="13317" max="13317" width="3.83203125" style="2" customWidth="1"/>
    <col min="13318" max="13318" width="2.83203125" style="2" customWidth="1"/>
    <col min="13319" max="13319" width="21.83203125" style="2" customWidth="1"/>
    <col min="13320" max="13320" width="25.5" style="2" customWidth="1"/>
    <col min="13321" max="13321" width="21" style="2" customWidth="1"/>
    <col min="13322" max="13323" width="0" style="2" hidden="1" customWidth="1"/>
    <col min="13324" max="13324" width="18.5" style="2" customWidth="1"/>
    <col min="13325" max="13325" width="20" style="2" bestFit="1" customWidth="1"/>
    <col min="13326" max="13326" width="23.5" style="2" bestFit="1" customWidth="1"/>
    <col min="13327" max="13327" width="0" style="2" hidden="1" customWidth="1"/>
    <col min="13328" max="13328" width="21.33203125" style="2" bestFit="1" customWidth="1"/>
    <col min="13329" max="13329" width="14.5" style="2" bestFit="1" customWidth="1"/>
    <col min="13330" max="13330" width="22.1640625" style="2" customWidth="1"/>
    <col min="13331" max="13331" width="1.5" style="2" customWidth="1"/>
    <col min="13332" max="13332" width="1.6640625" style="2" customWidth="1"/>
    <col min="13333" max="13333" width="17.83203125" style="2" customWidth="1"/>
    <col min="13334" max="13569" width="9.33203125" style="2"/>
    <col min="13570" max="13570" width="5.6640625" style="2" customWidth="1"/>
    <col min="13571" max="13571" width="11.6640625" style="2" customWidth="1"/>
    <col min="13572" max="13572" width="48" style="2" customWidth="1"/>
    <col min="13573" max="13573" width="3.83203125" style="2" customWidth="1"/>
    <col min="13574" max="13574" width="2.83203125" style="2" customWidth="1"/>
    <col min="13575" max="13575" width="21.83203125" style="2" customWidth="1"/>
    <col min="13576" max="13576" width="25.5" style="2" customWidth="1"/>
    <col min="13577" max="13577" width="21" style="2" customWidth="1"/>
    <col min="13578" max="13579" width="0" style="2" hidden="1" customWidth="1"/>
    <col min="13580" max="13580" width="18.5" style="2" customWidth="1"/>
    <col min="13581" max="13581" width="20" style="2" bestFit="1" customWidth="1"/>
    <col min="13582" max="13582" width="23.5" style="2" bestFit="1" customWidth="1"/>
    <col min="13583" max="13583" width="0" style="2" hidden="1" customWidth="1"/>
    <col min="13584" max="13584" width="21.33203125" style="2" bestFit="1" customWidth="1"/>
    <col min="13585" max="13585" width="14.5" style="2" bestFit="1" customWidth="1"/>
    <col min="13586" max="13586" width="22.1640625" style="2" customWidth="1"/>
    <col min="13587" max="13587" width="1.5" style="2" customWidth="1"/>
    <col min="13588" max="13588" width="1.6640625" style="2" customWidth="1"/>
    <col min="13589" max="13589" width="17.83203125" style="2" customWidth="1"/>
    <col min="13590" max="13825" width="9.33203125" style="2"/>
    <col min="13826" max="13826" width="5.6640625" style="2" customWidth="1"/>
    <col min="13827" max="13827" width="11.6640625" style="2" customWidth="1"/>
    <col min="13828" max="13828" width="48" style="2" customWidth="1"/>
    <col min="13829" max="13829" width="3.83203125" style="2" customWidth="1"/>
    <col min="13830" max="13830" width="2.83203125" style="2" customWidth="1"/>
    <col min="13831" max="13831" width="21.83203125" style="2" customWidth="1"/>
    <col min="13832" max="13832" width="25.5" style="2" customWidth="1"/>
    <col min="13833" max="13833" width="21" style="2" customWidth="1"/>
    <col min="13834" max="13835" width="0" style="2" hidden="1" customWidth="1"/>
    <col min="13836" max="13836" width="18.5" style="2" customWidth="1"/>
    <col min="13837" max="13837" width="20" style="2" bestFit="1" customWidth="1"/>
    <col min="13838" max="13838" width="23.5" style="2" bestFit="1" customWidth="1"/>
    <col min="13839" max="13839" width="0" style="2" hidden="1" customWidth="1"/>
    <col min="13840" max="13840" width="21.33203125" style="2" bestFit="1" customWidth="1"/>
    <col min="13841" max="13841" width="14.5" style="2" bestFit="1" customWidth="1"/>
    <col min="13842" max="13842" width="22.1640625" style="2" customWidth="1"/>
    <col min="13843" max="13843" width="1.5" style="2" customWidth="1"/>
    <col min="13844" max="13844" width="1.6640625" style="2" customWidth="1"/>
    <col min="13845" max="13845" width="17.83203125" style="2" customWidth="1"/>
    <col min="13846" max="14081" width="9.33203125" style="2"/>
    <col min="14082" max="14082" width="5.6640625" style="2" customWidth="1"/>
    <col min="14083" max="14083" width="11.6640625" style="2" customWidth="1"/>
    <col min="14084" max="14084" width="48" style="2" customWidth="1"/>
    <col min="14085" max="14085" width="3.83203125" style="2" customWidth="1"/>
    <col min="14086" max="14086" width="2.83203125" style="2" customWidth="1"/>
    <col min="14087" max="14087" width="21.83203125" style="2" customWidth="1"/>
    <col min="14088" max="14088" width="25.5" style="2" customWidth="1"/>
    <col min="14089" max="14089" width="21" style="2" customWidth="1"/>
    <col min="14090" max="14091" width="0" style="2" hidden="1" customWidth="1"/>
    <col min="14092" max="14092" width="18.5" style="2" customWidth="1"/>
    <col min="14093" max="14093" width="20" style="2" bestFit="1" customWidth="1"/>
    <col min="14094" max="14094" width="23.5" style="2" bestFit="1" customWidth="1"/>
    <col min="14095" max="14095" width="0" style="2" hidden="1" customWidth="1"/>
    <col min="14096" max="14096" width="21.33203125" style="2" bestFit="1" customWidth="1"/>
    <col min="14097" max="14097" width="14.5" style="2" bestFit="1" customWidth="1"/>
    <col min="14098" max="14098" width="22.1640625" style="2" customWidth="1"/>
    <col min="14099" max="14099" width="1.5" style="2" customWidth="1"/>
    <col min="14100" max="14100" width="1.6640625" style="2" customWidth="1"/>
    <col min="14101" max="14101" width="17.83203125" style="2" customWidth="1"/>
    <col min="14102" max="14337" width="9.33203125" style="2"/>
    <col min="14338" max="14338" width="5.6640625" style="2" customWidth="1"/>
    <col min="14339" max="14339" width="11.6640625" style="2" customWidth="1"/>
    <col min="14340" max="14340" width="48" style="2" customWidth="1"/>
    <col min="14341" max="14341" width="3.83203125" style="2" customWidth="1"/>
    <col min="14342" max="14342" width="2.83203125" style="2" customWidth="1"/>
    <col min="14343" max="14343" width="21.83203125" style="2" customWidth="1"/>
    <col min="14344" max="14344" width="25.5" style="2" customWidth="1"/>
    <col min="14345" max="14345" width="21" style="2" customWidth="1"/>
    <col min="14346" max="14347" width="0" style="2" hidden="1" customWidth="1"/>
    <col min="14348" max="14348" width="18.5" style="2" customWidth="1"/>
    <col min="14349" max="14349" width="20" style="2" bestFit="1" customWidth="1"/>
    <col min="14350" max="14350" width="23.5" style="2" bestFit="1" customWidth="1"/>
    <col min="14351" max="14351" width="0" style="2" hidden="1" customWidth="1"/>
    <col min="14352" max="14352" width="21.33203125" style="2" bestFit="1" customWidth="1"/>
    <col min="14353" max="14353" width="14.5" style="2" bestFit="1" customWidth="1"/>
    <col min="14354" max="14354" width="22.1640625" style="2" customWidth="1"/>
    <col min="14355" max="14355" width="1.5" style="2" customWidth="1"/>
    <col min="14356" max="14356" width="1.6640625" style="2" customWidth="1"/>
    <col min="14357" max="14357" width="17.83203125" style="2" customWidth="1"/>
    <col min="14358" max="14593" width="9.33203125" style="2"/>
    <col min="14594" max="14594" width="5.6640625" style="2" customWidth="1"/>
    <col min="14595" max="14595" width="11.6640625" style="2" customWidth="1"/>
    <col min="14596" max="14596" width="48" style="2" customWidth="1"/>
    <col min="14597" max="14597" width="3.83203125" style="2" customWidth="1"/>
    <col min="14598" max="14598" width="2.83203125" style="2" customWidth="1"/>
    <col min="14599" max="14599" width="21.83203125" style="2" customWidth="1"/>
    <col min="14600" max="14600" width="25.5" style="2" customWidth="1"/>
    <col min="14601" max="14601" width="21" style="2" customWidth="1"/>
    <col min="14602" max="14603" width="0" style="2" hidden="1" customWidth="1"/>
    <col min="14604" max="14604" width="18.5" style="2" customWidth="1"/>
    <col min="14605" max="14605" width="20" style="2" bestFit="1" customWidth="1"/>
    <col min="14606" max="14606" width="23.5" style="2" bestFit="1" customWidth="1"/>
    <col min="14607" max="14607" width="0" style="2" hidden="1" customWidth="1"/>
    <col min="14608" max="14608" width="21.33203125" style="2" bestFit="1" customWidth="1"/>
    <col min="14609" max="14609" width="14.5" style="2" bestFit="1" customWidth="1"/>
    <col min="14610" max="14610" width="22.1640625" style="2" customWidth="1"/>
    <col min="14611" max="14611" width="1.5" style="2" customWidth="1"/>
    <col min="14612" max="14612" width="1.6640625" style="2" customWidth="1"/>
    <col min="14613" max="14613" width="17.83203125" style="2" customWidth="1"/>
    <col min="14614" max="14849" width="9.33203125" style="2"/>
    <col min="14850" max="14850" width="5.6640625" style="2" customWidth="1"/>
    <col min="14851" max="14851" width="11.6640625" style="2" customWidth="1"/>
    <col min="14852" max="14852" width="48" style="2" customWidth="1"/>
    <col min="14853" max="14853" width="3.83203125" style="2" customWidth="1"/>
    <col min="14854" max="14854" width="2.83203125" style="2" customWidth="1"/>
    <col min="14855" max="14855" width="21.83203125" style="2" customWidth="1"/>
    <col min="14856" max="14856" width="25.5" style="2" customWidth="1"/>
    <col min="14857" max="14857" width="21" style="2" customWidth="1"/>
    <col min="14858" max="14859" width="0" style="2" hidden="1" customWidth="1"/>
    <col min="14860" max="14860" width="18.5" style="2" customWidth="1"/>
    <col min="14861" max="14861" width="20" style="2" bestFit="1" customWidth="1"/>
    <col min="14862" max="14862" width="23.5" style="2" bestFit="1" customWidth="1"/>
    <col min="14863" max="14863" width="0" style="2" hidden="1" customWidth="1"/>
    <col min="14864" max="14864" width="21.33203125" style="2" bestFit="1" customWidth="1"/>
    <col min="14865" max="14865" width="14.5" style="2" bestFit="1" customWidth="1"/>
    <col min="14866" max="14866" width="22.1640625" style="2" customWidth="1"/>
    <col min="14867" max="14867" width="1.5" style="2" customWidth="1"/>
    <col min="14868" max="14868" width="1.6640625" style="2" customWidth="1"/>
    <col min="14869" max="14869" width="17.83203125" style="2" customWidth="1"/>
    <col min="14870" max="15105" width="9.33203125" style="2"/>
    <col min="15106" max="15106" width="5.6640625" style="2" customWidth="1"/>
    <col min="15107" max="15107" width="11.6640625" style="2" customWidth="1"/>
    <col min="15108" max="15108" width="48" style="2" customWidth="1"/>
    <col min="15109" max="15109" width="3.83203125" style="2" customWidth="1"/>
    <col min="15110" max="15110" width="2.83203125" style="2" customWidth="1"/>
    <col min="15111" max="15111" width="21.83203125" style="2" customWidth="1"/>
    <col min="15112" max="15112" width="25.5" style="2" customWidth="1"/>
    <col min="15113" max="15113" width="21" style="2" customWidth="1"/>
    <col min="15114" max="15115" width="0" style="2" hidden="1" customWidth="1"/>
    <col min="15116" max="15116" width="18.5" style="2" customWidth="1"/>
    <col min="15117" max="15117" width="20" style="2" bestFit="1" customWidth="1"/>
    <col min="15118" max="15118" width="23.5" style="2" bestFit="1" customWidth="1"/>
    <col min="15119" max="15119" width="0" style="2" hidden="1" customWidth="1"/>
    <col min="15120" max="15120" width="21.33203125" style="2" bestFit="1" customWidth="1"/>
    <col min="15121" max="15121" width="14.5" style="2" bestFit="1" customWidth="1"/>
    <col min="15122" max="15122" width="22.1640625" style="2" customWidth="1"/>
    <col min="15123" max="15123" width="1.5" style="2" customWidth="1"/>
    <col min="15124" max="15124" width="1.6640625" style="2" customWidth="1"/>
    <col min="15125" max="15125" width="17.83203125" style="2" customWidth="1"/>
    <col min="15126" max="15361" width="9.33203125" style="2"/>
    <col min="15362" max="15362" width="5.6640625" style="2" customWidth="1"/>
    <col min="15363" max="15363" width="11.6640625" style="2" customWidth="1"/>
    <col min="15364" max="15364" width="48" style="2" customWidth="1"/>
    <col min="15365" max="15365" width="3.83203125" style="2" customWidth="1"/>
    <col min="15366" max="15366" width="2.83203125" style="2" customWidth="1"/>
    <col min="15367" max="15367" width="21.83203125" style="2" customWidth="1"/>
    <col min="15368" max="15368" width="25.5" style="2" customWidth="1"/>
    <col min="15369" max="15369" width="21" style="2" customWidth="1"/>
    <col min="15370" max="15371" width="0" style="2" hidden="1" customWidth="1"/>
    <col min="15372" max="15372" width="18.5" style="2" customWidth="1"/>
    <col min="15373" max="15373" width="20" style="2" bestFit="1" customWidth="1"/>
    <col min="15374" max="15374" width="23.5" style="2" bestFit="1" customWidth="1"/>
    <col min="15375" max="15375" width="0" style="2" hidden="1" customWidth="1"/>
    <col min="15376" max="15376" width="21.33203125" style="2" bestFit="1" customWidth="1"/>
    <col min="15377" max="15377" width="14.5" style="2" bestFit="1" customWidth="1"/>
    <col min="15378" max="15378" width="22.1640625" style="2" customWidth="1"/>
    <col min="15379" max="15379" width="1.5" style="2" customWidth="1"/>
    <col min="15380" max="15380" width="1.6640625" style="2" customWidth="1"/>
    <col min="15381" max="15381" width="17.83203125" style="2" customWidth="1"/>
    <col min="15382" max="15617" width="9.33203125" style="2"/>
    <col min="15618" max="15618" width="5.6640625" style="2" customWidth="1"/>
    <col min="15619" max="15619" width="11.6640625" style="2" customWidth="1"/>
    <col min="15620" max="15620" width="48" style="2" customWidth="1"/>
    <col min="15621" max="15621" width="3.83203125" style="2" customWidth="1"/>
    <col min="15622" max="15622" width="2.83203125" style="2" customWidth="1"/>
    <col min="15623" max="15623" width="21.83203125" style="2" customWidth="1"/>
    <col min="15624" max="15624" width="25.5" style="2" customWidth="1"/>
    <col min="15625" max="15625" width="21" style="2" customWidth="1"/>
    <col min="15626" max="15627" width="0" style="2" hidden="1" customWidth="1"/>
    <col min="15628" max="15628" width="18.5" style="2" customWidth="1"/>
    <col min="15629" max="15629" width="20" style="2" bestFit="1" customWidth="1"/>
    <col min="15630" max="15630" width="23.5" style="2" bestFit="1" customWidth="1"/>
    <col min="15631" max="15631" width="0" style="2" hidden="1" customWidth="1"/>
    <col min="15632" max="15632" width="21.33203125" style="2" bestFit="1" customWidth="1"/>
    <col min="15633" max="15633" width="14.5" style="2" bestFit="1" customWidth="1"/>
    <col min="15634" max="15634" width="22.1640625" style="2" customWidth="1"/>
    <col min="15635" max="15635" width="1.5" style="2" customWidth="1"/>
    <col min="15636" max="15636" width="1.6640625" style="2" customWidth="1"/>
    <col min="15637" max="15637" width="17.83203125" style="2" customWidth="1"/>
    <col min="15638" max="15873" width="9.33203125" style="2"/>
    <col min="15874" max="15874" width="5.6640625" style="2" customWidth="1"/>
    <col min="15875" max="15875" width="11.6640625" style="2" customWidth="1"/>
    <col min="15876" max="15876" width="48" style="2" customWidth="1"/>
    <col min="15877" max="15877" width="3.83203125" style="2" customWidth="1"/>
    <col min="15878" max="15878" width="2.83203125" style="2" customWidth="1"/>
    <col min="15879" max="15879" width="21.83203125" style="2" customWidth="1"/>
    <col min="15880" max="15880" width="25.5" style="2" customWidth="1"/>
    <col min="15881" max="15881" width="21" style="2" customWidth="1"/>
    <col min="15882" max="15883" width="0" style="2" hidden="1" customWidth="1"/>
    <col min="15884" max="15884" width="18.5" style="2" customWidth="1"/>
    <col min="15885" max="15885" width="20" style="2" bestFit="1" customWidth="1"/>
    <col min="15886" max="15886" width="23.5" style="2" bestFit="1" customWidth="1"/>
    <col min="15887" max="15887" width="0" style="2" hidden="1" customWidth="1"/>
    <col min="15888" max="15888" width="21.33203125" style="2" bestFit="1" customWidth="1"/>
    <col min="15889" max="15889" width="14.5" style="2" bestFit="1" customWidth="1"/>
    <col min="15890" max="15890" width="22.1640625" style="2" customWidth="1"/>
    <col min="15891" max="15891" width="1.5" style="2" customWidth="1"/>
    <col min="15892" max="15892" width="1.6640625" style="2" customWidth="1"/>
    <col min="15893" max="15893" width="17.83203125" style="2" customWidth="1"/>
    <col min="15894" max="16129" width="9.33203125" style="2"/>
    <col min="16130" max="16130" width="5.6640625" style="2" customWidth="1"/>
    <col min="16131" max="16131" width="11.6640625" style="2" customWidth="1"/>
    <col min="16132" max="16132" width="48" style="2" customWidth="1"/>
    <col min="16133" max="16133" width="3.83203125" style="2" customWidth="1"/>
    <col min="16134" max="16134" width="2.83203125" style="2" customWidth="1"/>
    <col min="16135" max="16135" width="21.83203125" style="2" customWidth="1"/>
    <col min="16136" max="16136" width="25.5" style="2" customWidth="1"/>
    <col min="16137" max="16137" width="21" style="2" customWidth="1"/>
    <col min="16138" max="16139" width="0" style="2" hidden="1" customWidth="1"/>
    <col min="16140" max="16140" width="18.5" style="2" customWidth="1"/>
    <col min="16141" max="16141" width="20" style="2" bestFit="1" customWidth="1"/>
    <col min="16142" max="16142" width="23.5" style="2" bestFit="1" customWidth="1"/>
    <col min="16143" max="16143" width="0" style="2" hidden="1" customWidth="1"/>
    <col min="16144" max="16144" width="21.33203125" style="2" bestFit="1" customWidth="1"/>
    <col min="16145" max="16145" width="14.5" style="2" bestFit="1" customWidth="1"/>
    <col min="16146" max="16146" width="22.1640625" style="2" customWidth="1"/>
    <col min="16147" max="16147" width="1.5" style="2" customWidth="1"/>
    <col min="16148" max="16148" width="1.6640625" style="2" customWidth="1"/>
    <col min="16149" max="16149" width="17.83203125" style="2" customWidth="1"/>
    <col min="16150" max="16384" width="9.33203125" style="2"/>
  </cols>
  <sheetData>
    <row r="1" spans="1:29" ht="15.75" customHeight="1">
      <c r="B1" s="613"/>
      <c r="C1" s="931" t="s">
        <v>799</v>
      </c>
      <c r="D1" s="931"/>
      <c r="E1" s="931"/>
      <c r="F1" s="931"/>
      <c r="G1" s="931"/>
      <c r="H1" s="931"/>
      <c r="I1" s="931"/>
      <c r="J1" s="931"/>
      <c r="K1" s="931"/>
      <c r="L1" s="931"/>
      <c r="M1" s="931"/>
      <c r="N1" s="931"/>
      <c r="O1" s="687"/>
      <c r="P1" s="687"/>
      <c r="Q1" s="687"/>
      <c r="R1" s="685" t="s">
        <v>872</v>
      </c>
    </row>
    <row r="2" spans="1:29" ht="15.75" customHeight="1">
      <c r="B2" s="8"/>
      <c r="C2" s="931" t="s">
        <v>798</v>
      </c>
      <c r="D2" s="931"/>
      <c r="E2" s="931"/>
      <c r="F2" s="931"/>
      <c r="G2" s="931"/>
      <c r="H2" s="931"/>
      <c r="I2" s="931"/>
      <c r="J2" s="931"/>
      <c r="K2" s="931"/>
      <c r="L2" s="931"/>
      <c r="M2" s="931"/>
      <c r="N2" s="931"/>
      <c r="O2" s="687"/>
      <c r="Q2" s="687"/>
      <c r="R2" s="685" t="str">
        <f>'MCC-2r page 1-6'!BB2</f>
        <v>Dockets UE-170033/UG-170034</v>
      </c>
    </row>
    <row r="3" spans="1:29" ht="15.6" customHeight="1">
      <c r="A3" s="686"/>
      <c r="B3" s="613"/>
      <c r="C3" s="931" t="s">
        <v>409</v>
      </c>
      <c r="D3" s="931"/>
      <c r="E3" s="931"/>
      <c r="F3" s="931"/>
      <c r="G3" s="931"/>
      <c r="H3" s="931"/>
      <c r="I3" s="931"/>
      <c r="J3" s="931"/>
      <c r="K3" s="931"/>
      <c r="L3" s="931"/>
      <c r="M3" s="931"/>
      <c r="N3" s="931"/>
      <c r="O3" s="613"/>
      <c r="P3" s="613"/>
      <c r="Q3" s="613"/>
      <c r="R3" s="685" t="s">
        <v>797</v>
      </c>
    </row>
    <row r="4" spans="1:29" ht="15.75">
      <c r="A4" s="613"/>
      <c r="B4" s="613"/>
      <c r="C4" s="613"/>
      <c r="D4" s="653"/>
      <c r="E4" s="613"/>
      <c r="F4" s="613"/>
      <c r="G4" s="613"/>
      <c r="H4" s="613"/>
      <c r="I4" s="613"/>
      <c r="J4" s="683"/>
      <c r="K4" s="683"/>
      <c r="L4" s="613"/>
      <c r="M4" s="613"/>
      <c r="N4" s="613"/>
      <c r="O4" s="613"/>
      <c r="P4" s="613"/>
      <c r="Q4" s="613"/>
      <c r="R4" s="613"/>
    </row>
    <row r="5" spans="1:29" ht="15.75">
      <c r="A5" s="613"/>
      <c r="B5" s="613"/>
      <c r="C5" s="613"/>
      <c r="D5" s="653"/>
      <c r="E5" s="613"/>
      <c r="F5" s="613"/>
      <c r="G5" s="613"/>
      <c r="H5" s="613"/>
      <c r="I5" s="613"/>
      <c r="J5" s="683"/>
      <c r="K5" s="683"/>
      <c r="L5" s="613"/>
      <c r="M5" s="613"/>
      <c r="N5" s="682"/>
      <c r="O5" s="684"/>
      <c r="P5" s="613"/>
      <c r="Q5" s="613"/>
      <c r="R5" s="613"/>
    </row>
    <row r="6" spans="1:29" ht="15.6" customHeight="1" thickBot="1">
      <c r="A6" s="613"/>
      <c r="B6" s="613"/>
      <c r="C6" s="613"/>
      <c r="D6" s="653"/>
      <c r="E6" s="613"/>
      <c r="F6" s="613"/>
      <c r="G6" s="613"/>
      <c r="H6" s="613"/>
      <c r="I6" s="613"/>
      <c r="J6" s="683"/>
      <c r="K6" s="683"/>
      <c r="L6" s="613"/>
      <c r="M6" s="613"/>
      <c r="N6" s="682"/>
      <c r="O6" s="613"/>
      <c r="P6" s="613"/>
      <c r="Q6" s="591" t="s">
        <v>796</v>
      </c>
      <c r="R6" s="681" t="s">
        <v>796</v>
      </c>
    </row>
    <row r="7" spans="1:29" ht="16.5" thickBot="1">
      <c r="A7" s="613"/>
      <c r="B7" s="680"/>
      <c r="C7" s="679"/>
      <c r="D7" s="932"/>
      <c r="E7" s="932"/>
      <c r="F7" s="933" t="s">
        <v>795</v>
      </c>
      <c r="G7" s="934"/>
      <c r="H7" s="678" t="s">
        <v>793</v>
      </c>
      <c r="I7" s="676" t="s">
        <v>792</v>
      </c>
      <c r="J7" s="933" t="s">
        <v>794</v>
      </c>
      <c r="K7" s="934"/>
      <c r="L7" s="678" t="s">
        <v>793</v>
      </c>
      <c r="M7" s="933" t="s">
        <v>794</v>
      </c>
      <c r="N7" s="934"/>
      <c r="O7" s="677" t="s">
        <v>793</v>
      </c>
      <c r="P7" s="676" t="s">
        <v>792</v>
      </c>
      <c r="Q7" s="675" t="s">
        <v>788</v>
      </c>
      <c r="R7" s="674" t="s">
        <v>783</v>
      </c>
      <c r="U7" s="647" t="s">
        <v>791</v>
      </c>
      <c r="V7" s="646"/>
      <c r="W7" s="646"/>
      <c r="X7" s="645"/>
    </row>
    <row r="8" spans="1:29" ht="23.25">
      <c r="A8" s="613"/>
      <c r="B8" s="669" t="s">
        <v>790</v>
      </c>
      <c r="C8" s="666" t="s">
        <v>789</v>
      </c>
      <c r="D8" s="673"/>
      <c r="E8" s="672"/>
      <c r="F8" s="669" t="s">
        <v>784</v>
      </c>
      <c r="G8" s="668" t="s">
        <v>782</v>
      </c>
      <c r="H8" s="670" t="s">
        <v>788</v>
      </c>
      <c r="I8" s="666" t="s">
        <v>782</v>
      </c>
      <c r="J8" s="671" t="s">
        <v>787</v>
      </c>
      <c r="K8" s="671" t="s">
        <v>786</v>
      </c>
      <c r="L8" s="670" t="s">
        <v>785</v>
      </c>
      <c r="M8" s="669" t="s">
        <v>784</v>
      </c>
      <c r="N8" s="668" t="s">
        <v>782</v>
      </c>
      <c r="O8" s="667" t="s">
        <v>783</v>
      </c>
      <c r="P8" s="666" t="s">
        <v>782</v>
      </c>
      <c r="Q8" s="665" t="s">
        <v>747</v>
      </c>
      <c r="R8" s="665" t="s">
        <v>747</v>
      </c>
      <c r="U8" s="640" t="s">
        <v>764</v>
      </c>
      <c r="V8" s="17"/>
      <c r="W8" s="17"/>
      <c r="X8" s="654" t="s">
        <v>762</v>
      </c>
    </row>
    <row r="9" spans="1:29" ht="18.75">
      <c r="A9" s="613"/>
      <c r="B9" s="661" t="s">
        <v>781</v>
      </c>
      <c r="C9" s="664" t="s">
        <v>780</v>
      </c>
      <c r="D9" s="663"/>
      <c r="E9" s="662"/>
      <c r="F9" s="661" t="s">
        <v>779</v>
      </c>
      <c r="G9" s="660" t="s">
        <v>778</v>
      </c>
      <c r="H9" s="659" t="s">
        <v>777</v>
      </c>
      <c r="I9" s="657" t="s">
        <v>776</v>
      </c>
      <c r="J9" s="658" t="s">
        <v>775</v>
      </c>
      <c r="K9" s="655" t="s">
        <v>774</v>
      </c>
      <c r="L9" s="659" t="s">
        <v>773</v>
      </c>
      <c r="M9" s="658" t="s">
        <v>772</v>
      </c>
      <c r="N9" s="655" t="s">
        <v>771</v>
      </c>
      <c r="O9" s="655" t="s">
        <v>770</v>
      </c>
      <c r="P9" s="657" t="s">
        <v>769</v>
      </c>
      <c r="Q9" s="656" t="s">
        <v>768</v>
      </c>
      <c r="R9" s="655" t="s">
        <v>767</v>
      </c>
      <c r="U9" s="636"/>
      <c r="V9" s="17" t="s">
        <v>760</v>
      </c>
      <c r="W9" s="17" t="s">
        <v>759</v>
      </c>
      <c r="X9" s="654"/>
    </row>
    <row r="10" spans="1:29" ht="15.75">
      <c r="A10" s="613"/>
      <c r="B10" s="651"/>
      <c r="C10" s="650"/>
      <c r="D10" s="653"/>
      <c r="E10" s="613"/>
      <c r="F10" s="651"/>
      <c r="G10" s="649"/>
      <c r="H10" s="649"/>
      <c r="I10" s="650"/>
      <c r="J10" s="652"/>
      <c r="K10" s="652"/>
      <c r="L10" s="649"/>
      <c r="M10" s="651"/>
      <c r="N10" s="649"/>
      <c r="O10" s="649"/>
      <c r="P10" s="650"/>
      <c r="Q10" s="649"/>
      <c r="R10" s="613"/>
      <c r="U10" s="636" t="str">
        <f>'EXHIBIT MCC-3r'!H13</f>
        <v>SHORT TERM DEBT</v>
      </c>
      <c r="V10" s="584">
        <f>'EXHIBIT MCC-3r'!I13</f>
        <v>0.01</v>
      </c>
      <c r="W10" s="584">
        <f>'EXHIBIT MCC-3r'!J13</f>
        <v>3.0599999999999999E-2</v>
      </c>
      <c r="X10" s="635">
        <f>'EXHIBIT MCC-3r'!K13</f>
        <v>2.9999999999999997E-4</v>
      </c>
      <c r="Y10" s="555"/>
      <c r="Z10" s="555"/>
    </row>
    <row r="11" spans="1:29" ht="15.75">
      <c r="A11" s="613"/>
      <c r="B11" s="648"/>
      <c r="C11" s="626" t="s">
        <v>766</v>
      </c>
      <c r="D11" s="616"/>
      <c r="E11" s="605"/>
      <c r="F11" s="606">
        <v>401002971.69877887</v>
      </c>
      <c r="G11" s="624">
        <v>5153204461.5858841</v>
      </c>
      <c r="H11" s="623">
        <f>(-F11+(G11*$X$32))/ConversionFactor</f>
        <v>-3464894.4465503655</v>
      </c>
      <c r="I11" s="622">
        <f>+F11/G11</f>
        <v>7.7816235448839796E-2</v>
      </c>
      <c r="J11" s="607">
        <v>401002971.69877887</v>
      </c>
      <c r="K11" s="607">
        <v>5153204461.5858841</v>
      </c>
      <c r="L11" s="623">
        <f t="shared" ref="L11:L52" si="0">(-J11+(K11*$X$32))/ConversionFactor</f>
        <v>-3464894.4465503655</v>
      </c>
      <c r="M11" s="606">
        <f>'MCC-2r page 1-6'!D49</f>
        <v>401002971.69877887</v>
      </c>
      <c r="N11" s="624">
        <f>'MCC-2r page 1-6'!D51</f>
        <v>5153204461.5858841</v>
      </c>
      <c r="O11" s="623">
        <f>(-M11+(N11*$X$14))/ConversionFactor</f>
        <v>-34265032.896965198</v>
      </c>
      <c r="P11" s="622">
        <f>+M11/N11</f>
        <v>7.7816235448839796E-2</v>
      </c>
      <c r="Q11" s="615">
        <f>L11-H11</f>
        <v>0</v>
      </c>
      <c r="R11" s="621">
        <f>+O11-H11</f>
        <v>-30800138.450414833</v>
      </c>
      <c r="U11" s="636" t="str">
        <f>'EXHIBIT MCC-3r'!H14</f>
        <v>LONG TERM DEBT</v>
      </c>
      <c r="V11" s="584">
        <f>'EXHIBIT MCC-3r'!I14</f>
        <v>0.51</v>
      </c>
      <c r="W11" s="584">
        <f>'EXHIBIT MCC-3r'!J14</f>
        <v>5.7299999999999997E-2</v>
      </c>
      <c r="X11" s="635">
        <f>'EXHIBIT MCC-3r'!K14</f>
        <v>2.92E-2</v>
      </c>
      <c r="Y11" s="555"/>
      <c r="Z11" s="555"/>
      <c r="AA11" s="7">
        <f t="shared" ref="AA11:AA55" si="1">J11-M11</f>
        <v>0</v>
      </c>
      <c r="AB11" s="7">
        <f t="shared" ref="AB11:AB55" si="2">K11-N11</f>
        <v>0</v>
      </c>
      <c r="AC11" s="7">
        <f t="shared" ref="AC11:AC55" si="3">L11-O11</f>
        <v>30800138.450414833</v>
      </c>
    </row>
    <row r="12" spans="1:29" ht="15.75">
      <c r="A12" s="613"/>
      <c r="B12" s="648"/>
      <c r="C12" s="629" t="s">
        <v>765</v>
      </c>
      <c r="D12" s="616"/>
      <c r="E12" s="605"/>
      <c r="F12" s="606"/>
      <c r="G12" s="624"/>
      <c r="H12" s="623"/>
      <c r="I12" s="622"/>
      <c r="J12" s="607"/>
      <c r="K12" s="607"/>
      <c r="L12" s="623">
        <f t="shared" si="0"/>
        <v>0</v>
      </c>
      <c r="M12" s="606"/>
      <c r="N12" s="624"/>
      <c r="O12" s="623"/>
      <c r="P12" s="622"/>
      <c r="Q12" s="615"/>
      <c r="R12" s="621"/>
      <c r="U12" s="636"/>
      <c r="V12" s="584"/>
      <c r="W12" s="584"/>
      <c r="X12" s="635"/>
      <c r="Y12" s="555"/>
      <c r="Z12" s="555"/>
      <c r="AA12" s="7">
        <f t="shared" si="1"/>
        <v>0</v>
      </c>
      <c r="AB12" s="7">
        <f t="shared" si="2"/>
        <v>0</v>
      </c>
      <c r="AC12" s="7">
        <f t="shared" si="3"/>
        <v>0</v>
      </c>
    </row>
    <row r="13" spans="1:29" ht="15.75">
      <c r="A13" s="613"/>
      <c r="B13" s="627">
        <v>13.01</v>
      </c>
      <c r="C13" s="626" t="s">
        <v>430</v>
      </c>
      <c r="D13" s="616"/>
      <c r="E13" s="605"/>
      <c r="F13" s="606">
        <v>-29139113.529240973</v>
      </c>
      <c r="G13" s="624">
        <v>0</v>
      </c>
      <c r="H13" s="623">
        <f t="shared" ref="H13:H34" si="4">(-F13+(G13*$X$32))/ConversionFactor</f>
        <v>47070618.623087555</v>
      </c>
      <c r="I13" s="622">
        <f t="shared" ref="I13:I34" si="5">((+F13+F$11)/+(G13+G$11))-I$11</f>
        <v>-5.6545618840579542E-3</v>
      </c>
      <c r="J13" s="607">
        <v>-29139113.529240973</v>
      </c>
      <c r="K13" s="607">
        <v>0</v>
      </c>
      <c r="L13" s="623">
        <f t="shared" si="0"/>
        <v>47070618.623087555</v>
      </c>
      <c r="M13" s="606">
        <f>'MCC-2r page 1-6'!E49</f>
        <v>-29139113.529240973</v>
      </c>
      <c r="N13" s="624">
        <f>'MCC-2r page 1-6'!E51</f>
        <v>0</v>
      </c>
      <c r="O13" s="623">
        <f t="shared" ref="O13:O34" si="6">(-M13+(N13*$X$14))/ConversionFactor</f>
        <v>47070618.623087555</v>
      </c>
      <c r="P13" s="622">
        <f t="shared" ref="P13:P34" si="7">((+M13+M$11)/+(N13+N$11))-P$11</f>
        <v>-5.6545618840579542E-3</v>
      </c>
      <c r="Q13" s="615">
        <f t="shared" ref="Q13:Q34" si="8">L13-H13</f>
        <v>0</v>
      </c>
      <c r="R13" s="621">
        <f t="shared" ref="R13:R34" si="9">+O13-H13</f>
        <v>0</v>
      </c>
      <c r="U13" s="636" t="s">
        <v>756</v>
      </c>
      <c r="V13" s="584">
        <f>'EXHIBIT MCC-3r'!I15</f>
        <v>0.48</v>
      </c>
      <c r="W13" s="584">
        <f>'EXHIBIT MCC-3r'!J15</f>
        <v>9.1999999999999998E-2</v>
      </c>
      <c r="X13" s="635">
        <f>'EXHIBIT MCC-3r'!K15</f>
        <v>4.4200000000000003E-2</v>
      </c>
      <c r="Y13" s="555"/>
      <c r="Z13" s="555"/>
      <c r="AA13" s="7">
        <f t="shared" si="1"/>
        <v>0</v>
      </c>
      <c r="AB13" s="7">
        <f t="shared" si="2"/>
        <v>0</v>
      </c>
      <c r="AC13" s="7">
        <f t="shared" si="3"/>
        <v>0</v>
      </c>
    </row>
    <row r="14" spans="1:29" ht="16.5" thickBot="1">
      <c r="A14" s="613"/>
      <c r="B14" s="627">
        <f t="shared" ref="B14:B34" si="10">B13+0.01</f>
        <v>13.02</v>
      </c>
      <c r="C14" s="626" t="s">
        <v>429</v>
      </c>
      <c r="D14" s="616"/>
      <c r="E14" s="605"/>
      <c r="F14" s="606">
        <v>17527344</v>
      </c>
      <c r="G14" s="624">
        <v>0</v>
      </c>
      <c r="H14" s="623">
        <f t="shared" si="4"/>
        <v>-28313247.212265223</v>
      </c>
      <c r="I14" s="622">
        <f t="shared" si="5"/>
        <v>3.4012514214516593E-3</v>
      </c>
      <c r="J14" s="607">
        <v>20557383.659274291</v>
      </c>
      <c r="K14" s="607">
        <v>0</v>
      </c>
      <c r="L14" s="623">
        <f t="shared" si="0"/>
        <v>-33207899.929528084</v>
      </c>
      <c r="M14" s="606">
        <f>'MCC-2r page 1-6'!F49</f>
        <v>20557383.659274291</v>
      </c>
      <c r="N14" s="624">
        <f>'MCC-2r page 1-6'!F51</f>
        <v>0</v>
      </c>
      <c r="O14" s="623">
        <f t="shared" si="6"/>
        <v>-33207899.929528084</v>
      </c>
      <c r="P14" s="622">
        <f t="shared" si="7"/>
        <v>3.9892427736018393E-3</v>
      </c>
      <c r="Q14" s="615">
        <f t="shared" si="8"/>
        <v>-4894652.7172628604</v>
      </c>
      <c r="R14" s="621">
        <f t="shared" si="9"/>
        <v>-4894652.7172628604</v>
      </c>
      <c r="U14" s="636" t="s">
        <v>702</v>
      </c>
      <c r="V14" s="633">
        <f>SUM(V10:V13)</f>
        <v>1</v>
      </c>
      <c r="W14" s="632"/>
      <c r="X14" s="631">
        <f>ROR</f>
        <v>7.3700000000000002E-2</v>
      </c>
      <c r="Y14" s="555"/>
      <c r="Z14" s="555"/>
      <c r="AA14" s="7">
        <f t="shared" si="1"/>
        <v>0</v>
      </c>
      <c r="AB14" s="7">
        <f t="shared" si="2"/>
        <v>0</v>
      </c>
      <c r="AC14" s="7">
        <f t="shared" si="3"/>
        <v>0</v>
      </c>
    </row>
    <row r="15" spans="1:29" ht="15" customHeight="1">
      <c r="A15" s="613"/>
      <c r="B15" s="627">
        <f t="shared" si="10"/>
        <v>13.03</v>
      </c>
      <c r="C15" s="626" t="s">
        <v>428</v>
      </c>
      <c r="D15" s="616"/>
      <c r="E15" s="605"/>
      <c r="F15" s="606">
        <v>-1000540.3107059002</v>
      </c>
      <c r="G15" s="624">
        <v>0</v>
      </c>
      <c r="H15" s="623">
        <f t="shared" si="4"/>
        <v>1616248.5977825739</v>
      </c>
      <c r="I15" s="622">
        <f t="shared" si="5"/>
        <v>-1.9415886137728877E-4</v>
      </c>
      <c r="J15" s="607">
        <v>-1000540.3107059002</v>
      </c>
      <c r="K15" s="607">
        <v>0</v>
      </c>
      <c r="L15" s="623">
        <f t="shared" si="0"/>
        <v>1616248.5977825739</v>
      </c>
      <c r="M15" s="606">
        <f>'MCC-2r page 1-6'!G49</f>
        <v>-1000540.3107059002</v>
      </c>
      <c r="N15" s="624">
        <f>'MCC-2r page 1-6'!G51</f>
        <v>0</v>
      </c>
      <c r="O15" s="623">
        <f t="shared" si="6"/>
        <v>1616248.5977825739</v>
      </c>
      <c r="P15" s="622">
        <f t="shared" si="7"/>
        <v>-1.9415886137728877E-4</v>
      </c>
      <c r="Q15" s="615">
        <f t="shared" si="8"/>
        <v>0</v>
      </c>
      <c r="R15" s="621">
        <f t="shared" si="9"/>
        <v>0</v>
      </c>
      <c r="U15" s="636"/>
      <c r="V15" s="17"/>
      <c r="W15" s="17"/>
      <c r="X15" s="641"/>
      <c r="Y15" s="555"/>
      <c r="Z15" s="555"/>
      <c r="AA15" s="7">
        <f t="shared" si="1"/>
        <v>0</v>
      </c>
      <c r="AB15" s="7">
        <f t="shared" si="2"/>
        <v>0</v>
      </c>
      <c r="AC15" s="7">
        <f t="shared" si="3"/>
        <v>0</v>
      </c>
    </row>
    <row r="16" spans="1:29" ht="15.75">
      <c r="A16" s="613"/>
      <c r="B16" s="627">
        <f t="shared" si="10"/>
        <v>13.04</v>
      </c>
      <c r="C16" s="626" t="s">
        <v>345</v>
      </c>
      <c r="D16" s="616"/>
      <c r="E16" s="605"/>
      <c r="F16" s="606">
        <v>-27023238.806572676</v>
      </c>
      <c r="G16" s="624">
        <v>0</v>
      </c>
      <c r="H16" s="623">
        <f t="shared" si="4"/>
        <v>43652685.815179482</v>
      </c>
      <c r="I16" s="622">
        <f t="shared" si="5"/>
        <v>-5.2439679054101379E-3</v>
      </c>
      <c r="J16" s="607">
        <v>-27023238.806572676</v>
      </c>
      <c r="K16" s="607">
        <v>0</v>
      </c>
      <c r="L16" s="623">
        <f t="shared" si="0"/>
        <v>43652685.815179482</v>
      </c>
      <c r="M16" s="606">
        <f>'MCC-2r page 1-6'!H49</f>
        <v>-27023238.806572676</v>
      </c>
      <c r="N16" s="624">
        <f>'MCC-2r page 1-6'!H51</f>
        <v>0</v>
      </c>
      <c r="O16" s="623">
        <f t="shared" si="6"/>
        <v>43652685.815179482</v>
      </c>
      <c r="P16" s="622">
        <f t="shared" si="7"/>
        <v>-5.2439679054101379E-3</v>
      </c>
      <c r="Q16" s="615">
        <f t="shared" si="8"/>
        <v>0</v>
      </c>
      <c r="R16" s="621">
        <f t="shared" si="9"/>
        <v>0</v>
      </c>
      <c r="U16" s="636"/>
      <c r="V16" s="17"/>
      <c r="W16" s="17"/>
      <c r="X16" s="641"/>
      <c r="Y16" s="555"/>
      <c r="Z16" s="555"/>
      <c r="AA16" s="7">
        <f t="shared" si="1"/>
        <v>0</v>
      </c>
      <c r="AB16" s="7">
        <f t="shared" si="2"/>
        <v>0</v>
      </c>
      <c r="AC16" s="7">
        <f t="shared" si="3"/>
        <v>0</v>
      </c>
    </row>
    <row r="17" spans="1:47" ht="16.149999999999999" customHeight="1">
      <c r="A17" s="613"/>
      <c r="B17" s="627">
        <f t="shared" si="10"/>
        <v>13.049999999999999</v>
      </c>
      <c r="C17" s="626" t="s">
        <v>427</v>
      </c>
      <c r="D17" s="616"/>
      <c r="E17" s="605"/>
      <c r="F17" s="606">
        <v>53347930.4173996</v>
      </c>
      <c r="G17" s="624">
        <v>0</v>
      </c>
      <c r="H17" s="623">
        <f t="shared" si="4"/>
        <v>-86176955.400119856</v>
      </c>
      <c r="I17" s="622">
        <f t="shared" si="5"/>
        <v>1.035237992497233E-2</v>
      </c>
      <c r="J17" s="889">
        <v>53117556.77623222</v>
      </c>
      <c r="K17" s="607">
        <v>0</v>
      </c>
      <c r="L17" s="890">
        <f t="shared" si="0"/>
        <v>-85804815.396844879</v>
      </c>
      <c r="M17" s="891">
        <f>'MCC-2r page 1-6'!I49</f>
        <v>52406954.009995006</v>
      </c>
      <c r="N17" s="624">
        <f>'MCC-2r page 1-6'!I51</f>
        <v>0</v>
      </c>
      <c r="O17" s="890">
        <f t="shared" si="6"/>
        <v>-84656924.889863685</v>
      </c>
      <c r="P17" s="622">
        <f t="shared" si="7"/>
        <v>1.0169779677996107E-2</v>
      </c>
      <c r="Q17" s="894">
        <f t="shared" si="8"/>
        <v>372140.00327497721</v>
      </c>
      <c r="R17" s="895">
        <f t="shared" si="9"/>
        <v>1520030.5102561712</v>
      </c>
      <c r="U17" s="640" t="s">
        <v>763</v>
      </c>
      <c r="V17" s="17"/>
      <c r="W17" s="17"/>
      <c r="X17" s="639" t="s">
        <v>762</v>
      </c>
      <c r="Y17" s="555"/>
      <c r="Z17" s="555"/>
      <c r="AA17" s="7">
        <f t="shared" si="1"/>
        <v>710602.76623721421</v>
      </c>
      <c r="AB17" s="7">
        <f t="shared" si="2"/>
        <v>0</v>
      </c>
      <c r="AC17" s="7">
        <f t="shared" si="3"/>
        <v>-1147890.506981194</v>
      </c>
    </row>
    <row r="18" spans="1:47" ht="15.75">
      <c r="A18" s="613"/>
      <c r="B18" s="627">
        <f t="shared" si="10"/>
        <v>13.059999999999999</v>
      </c>
      <c r="C18" s="626" t="s">
        <v>426</v>
      </c>
      <c r="D18" s="616"/>
      <c r="E18" s="605"/>
      <c r="F18" s="606">
        <v>-34610611.020140424</v>
      </c>
      <c r="G18" s="624">
        <v>-17305305.510070205</v>
      </c>
      <c r="H18" s="623">
        <f t="shared" si="4"/>
        <v>53745459.37840499</v>
      </c>
      <c r="I18" s="622">
        <f t="shared" si="5"/>
        <v>-6.4767582620276209E-3</v>
      </c>
      <c r="J18" s="889">
        <v>-21325734.027748644</v>
      </c>
      <c r="K18" s="889">
        <v>-10662867.013874311</v>
      </c>
      <c r="L18" s="890">
        <f t="shared" si="0"/>
        <v>33115895.331523206</v>
      </c>
      <c r="M18" s="891">
        <f>'MCC-2r page 1-6'!J49</f>
        <v>-21325734.027748644</v>
      </c>
      <c r="N18" s="892">
        <f>'MCC-2r page 1-6'!J51</f>
        <v>-10662867.013874311</v>
      </c>
      <c r="O18" s="890">
        <f t="shared" si="6"/>
        <v>33179626.119376447</v>
      </c>
      <c r="P18" s="893">
        <f t="shared" si="7"/>
        <v>-3.9855759026375254E-3</v>
      </c>
      <c r="Q18" s="894">
        <f t="shared" si="8"/>
        <v>-20629564.046881784</v>
      </c>
      <c r="R18" s="895">
        <f t="shared" si="9"/>
        <v>-20565833.259028543</v>
      </c>
      <c r="U18" s="636"/>
      <c r="V18" s="17" t="s">
        <v>760</v>
      </c>
      <c r="W18" s="17" t="s">
        <v>759</v>
      </c>
      <c r="X18" s="638"/>
      <c r="Y18" s="555"/>
      <c r="Z18" s="555"/>
      <c r="AA18" s="7">
        <f t="shared" si="1"/>
        <v>0</v>
      </c>
      <c r="AB18" s="7">
        <f t="shared" si="2"/>
        <v>0</v>
      </c>
      <c r="AC18" s="7">
        <f t="shared" si="3"/>
        <v>-63730.787853240967</v>
      </c>
      <c r="AU18" s="888"/>
    </row>
    <row r="19" spans="1:47" ht="15.75">
      <c r="A19" s="613"/>
      <c r="B19" s="627">
        <f t="shared" si="10"/>
        <v>13.069999999999999</v>
      </c>
      <c r="C19" s="626" t="s">
        <v>424</v>
      </c>
      <c r="D19" s="616"/>
      <c r="E19" s="605"/>
      <c r="F19" s="606">
        <v>69387.278670666696</v>
      </c>
      <c r="G19" s="624">
        <v>0</v>
      </c>
      <c r="H19" s="623">
        <f t="shared" si="4"/>
        <v>-112086.53030310378</v>
      </c>
      <c r="I19" s="622">
        <f t="shared" si="5"/>
        <v>1.3464879802055352E-5</v>
      </c>
      <c r="J19" s="607">
        <v>69387.278670666696</v>
      </c>
      <c r="K19" s="607">
        <v>0</v>
      </c>
      <c r="L19" s="623">
        <f t="shared" si="0"/>
        <v>-112086.53030310378</v>
      </c>
      <c r="M19" s="606">
        <f>'MCC-2r page 1-6'!L49</f>
        <v>69387.278670666696</v>
      </c>
      <c r="N19" s="624">
        <f>'MCC-2r page 1-6'!L51</f>
        <v>0</v>
      </c>
      <c r="O19" s="623">
        <f t="shared" si="6"/>
        <v>-112086.53030310378</v>
      </c>
      <c r="P19" s="622">
        <f t="shared" si="7"/>
        <v>1.3464879802055352E-5</v>
      </c>
      <c r="Q19" s="615">
        <f t="shared" si="8"/>
        <v>0</v>
      </c>
      <c r="R19" s="621">
        <f t="shared" si="9"/>
        <v>0</v>
      </c>
      <c r="U19" s="636" t="str">
        <f>U10</f>
        <v>SHORT TERM DEBT</v>
      </c>
      <c r="V19" s="584">
        <f>V10</f>
        <v>0.01</v>
      </c>
      <c r="W19" s="584">
        <f>W10*0.65</f>
        <v>1.9890000000000001E-2</v>
      </c>
      <c r="X19" s="635">
        <f>ROUND(W19*V19,4)</f>
        <v>2.0000000000000001E-4</v>
      </c>
      <c r="Y19" s="555"/>
      <c r="Z19" s="555"/>
      <c r="AA19" s="7">
        <f t="shared" si="1"/>
        <v>0</v>
      </c>
      <c r="AB19" s="7">
        <f t="shared" si="2"/>
        <v>0</v>
      </c>
      <c r="AC19" s="7">
        <f t="shared" si="3"/>
        <v>0</v>
      </c>
    </row>
    <row r="20" spans="1:47" ht="15.75">
      <c r="A20" s="613"/>
      <c r="B20" s="627">
        <f t="shared" si="10"/>
        <v>13.079999999999998</v>
      </c>
      <c r="C20" s="626" t="s">
        <v>216</v>
      </c>
      <c r="D20" s="616"/>
      <c r="E20" s="605"/>
      <c r="F20" s="606">
        <v>681065</v>
      </c>
      <c r="G20" s="624">
        <v>0</v>
      </c>
      <c r="H20" s="623">
        <f t="shared" si="4"/>
        <v>-1100175.914423852</v>
      </c>
      <c r="I20" s="622">
        <f t="shared" si="5"/>
        <v>1.3216339562634183E-4</v>
      </c>
      <c r="J20" s="607">
        <v>681065</v>
      </c>
      <c r="K20" s="607">
        <v>0</v>
      </c>
      <c r="L20" s="623">
        <f t="shared" si="0"/>
        <v>-1100175.914423852</v>
      </c>
      <c r="M20" s="606">
        <f>'MCC-2r page 1-6'!M49</f>
        <v>681065</v>
      </c>
      <c r="N20" s="624">
        <f>'MCC-2r page 1-6'!M51</f>
        <v>0</v>
      </c>
      <c r="O20" s="623">
        <f t="shared" si="6"/>
        <v>-1100175.914423852</v>
      </c>
      <c r="P20" s="622">
        <f t="shared" si="7"/>
        <v>1.3216339562634183E-4</v>
      </c>
      <c r="Q20" s="615">
        <f t="shared" si="8"/>
        <v>0</v>
      </c>
      <c r="R20" s="621">
        <f t="shared" si="9"/>
        <v>0</v>
      </c>
      <c r="U20" s="636" t="str">
        <f>U11</f>
        <v>LONG TERM DEBT</v>
      </c>
      <c r="V20" s="584">
        <f>V11</f>
        <v>0.51</v>
      </c>
      <c r="W20" s="584">
        <f>W11*0.65</f>
        <v>3.7245E-2</v>
      </c>
      <c r="X20" s="635">
        <f>ROUND(W20*V20,4)</f>
        <v>1.9E-2</v>
      </c>
      <c r="Y20" s="555"/>
      <c r="Z20" s="555"/>
      <c r="AA20" s="7">
        <f t="shared" si="1"/>
        <v>0</v>
      </c>
      <c r="AB20" s="7">
        <f t="shared" si="2"/>
        <v>0</v>
      </c>
      <c r="AC20" s="7">
        <f t="shared" si="3"/>
        <v>0</v>
      </c>
    </row>
    <row r="21" spans="1:47" ht="15.75">
      <c r="A21" s="613"/>
      <c r="B21" s="627">
        <f t="shared" si="10"/>
        <v>13.089999999999998</v>
      </c>
      <c r="C21" s="626" t="s">
        <v>423</v>
      </c>
      <c r="D21" s="616"/>
      <c r="E21" s="605"/>
      <c r="F21" s="606">
        <v>-109903.18925372648</v>
      </c>
      <c r="G21" s="624">
        <v>0</v>
      </c>
      <c r="H21" s="623">
        <f t="shared" si="4"/>
        <v>177534.95148820771</v>
      </c>
      <c r="I21" s="622">
        <f t="shared" si="5"/>
        <v>-2.1327154797176617E-5</v>
      </c>
      <c r="J21" s="607">
        <v>-109903.18925372648</v>
      </c>
      <c r="K21" s="607">
        <v>0</v>
      </c>
      <c r="L21" s="623">
        <f t="shared" si="0"/>
        <v>177534.95148820771</v>
      </c>
      <c r="M21" s="606">
        <f>'MCC-2r page 1-6'!N49</f>
        <v>-109903.18925372648</v>
      </c>
      <c r="N21" s="624">
        <f>'MCC-2r page 1-6'!N51</f>
        <v>0</v>
      </c>
      <c r="O21" s="623">
        <f t="shared" si="6"/>
        <v>177534.95148820771</v>
      </c>
      <c r="P21" s="622">
        <f t="shared" si="7"/>
        <v>-2.1327154797176617E-5</v>
      </c>
      <c r="Q21" s="615">
        <f t="shared" si="8"/>
        <v>0</v>
      </c>
      <c r="R21" s="621">
        <f t="shared" si="9"/>
        <v>0</v>
      </c>
      <c r="U21" s="636"/>
      <c r="V21" s="584"/>
      <c r="W21" s="584"/>
      <c r="X21" s="635"/>
      <c r="Y21" s="555"/>
      <c r="Z21" s="555"/>
      <c r="AA21" s="7">
        <f t="shared" si="1"/>
        <v>0</v>
      </c>
      <c r="AB21" s="7">
        <f t="shared" si="2"/>
        <v>0</v>
      </c>
      <c r="AC21" s="7">
        <f t="shared" si="3"/>
        <v>0</v>
      </c>
    </row>
    <row r="22" spans="1:47" ht="15.75">
      <c r="A22" s="613"/>
      <c r="B22" s="627">
        <f t="shared" si="10"/>
        <v>13.099999999999998</v>
      </c>
      <c r="C22" s="626" t="s">
        <v>422</v>
      </c>
      <c r="D22" s="616"/>
      <c r="E22" s="605"/>
      <c r="F22" s="606">
        <v>16141.122864383684</v>
      </c>
      <c r="G22" s="624">
        <v>0</v>
      </c>
      <c r="H22" s="623">
        <f t="shared" si="4"/>
        <v>-26073.979146118305</v>
      </c>
      <c r="I22" s="622">
        <f t="shared" si="5"/>
        <v>3.1322496486796414E-6</v>
      </c>
      <c r="J22" s="607">
        <v>16141.122864383684</v>
      </c>
      <c r="K22" s="607">
        <v>0</v>
      </c>
      <c r="L22" s="623">
        <f t="shared" si="0"/>
        <v>-26073.979146118305</v>
      </c>
      <c r="M22" s="606">
        <f>'MCC-2r page 1-6'!O49</f>
        <v>16141.122864383684</v>
      </c>
      <c r="N22" s="624">
        <f>'MCC-2r page 1-6'!O51</f>
        <v>0</v>
      </c>
      <c r="O22" s="623">
        <f t="shared" si="6"/>
        <v>-26073.979146118305</v>
      </c>
      <c r="P22" s="622">
        <f t="shared" si="7"/>
        <v>3.1322496486796414E-6</v>
      </c>
      <c r="Q22" s="615">
        <f t="shared" si="8"/>
        <v>0</v>
      </c>
      <c r="R22" s="621">
        <f t="shared" si="9"/>
        <v>0</v>
      </c>
      <c r="U22" s="636" t="s">
        <v>756</v>
      </c>
      <c r="V22" s="584">
        <f>V13</f>
        <v>0.48</v>
      </c>
      <c r="W22" s="584">
        <f>W13</f>
        <v>9.1999999999999998E-2</v>
      </c>
      <c r="X22" s="635">
        <f>ROUND(W22*V22,4)</f>
        <v>4.4200000000000003E-2</v>
      </c>
      <c r="Y22" s="555"/>
      <c r="Z22" s="555"/>
      <c r="AA22" s="7">
        <f t="shared" si="1"/>
        <v>0</v>
      </c>
      <c r="AB22" s="7">
        <f t="shared" si="2"/>
        <v>0</v>
      </c>
      <c r="AC22" s="7">
        <f t="shared" si="3"/>
        <v>0</v>
      </c>
    </row>
    <row r="23" spans="1:47" ht="16.5" thickBot="1">
      <c r="A23" s="613"/>
      <c r="B23" s="627">
        <f t="shared" si="10"/>
        <v>13.109999999999998</v>
      </c>
      <c r="C23" s="626" t="s">
        <v>421</v>
      </c>
      <c r="D23" s="616"/>
      <c r="E23" s="605"/>
      <c r="F23" s="606">
        <v>-176605.63064400846</v>
      </c>
      <c r="G23" s="624">
        <v>0</v>
      </c>
      <c r="H23" s="623">
        <f t="shared" si="4"/>
        <v>285284.46064057475</v>
      </c>
      <c r="I23" s="622">
        <f t="shared" si="5"/>
        <v>-3.4271031153623732E-5</v>
      </c>
      <c r="J23" s="607">
        <v>-176605.63064400846</v>
      </c>
      <c r="K23" s="607">
        <v>0</v>
      </c>
      <c r="L23" s="623">
        <f t="shared" si="0"/>
        <v>285284.46064057475</v>
      </c>
      <c r="M23" s="606">
        <f>'MCC-2r page 1-6'!P49</f>
        <v>-176605.63064400846</v>
      </c>
      <c r="N23" s="624">
        <f>'MCC-2r page 1-6'!P51</f>
        <v>0</v>
      </c>
      <c r="O23" s="623">
        <f t="shared" si="6"/>
        <v>285284.46064057475</v>
      </c>
      <c r="P23" s="622">
        <f t="shared" si="7"/>
        <v>-3.4271031153623732E-5</v>
      </c>
      <c r="Q23" s="615">
        <f t="shared" si="8"/>
        <v>0</v>
      </c>
      <c r="R23" s="621">
        <f t="shared" si="9"/>
        <v>0</v>
      </c>
      <c r="U23" s="634" t="s">
        <v>702</v>
      </c>
      <c r="V23" s="633">
        <f>SUM(V19:V22)</f>
        <v>1</v>
      </c>
      <c r="W23" s="632"/>
      <c r="X23" s="631">
        <f>SUM(X19:X22)</f>
        <v>6.3399999999999998E-2</v>
      </c>
      <c r="Y23" s="555"/>
      <c r="Z23" s="555"/>
      <c r="AA23" s="7">
        <f t="shared" si="1"/>
        <v>0</v>
      </c>
      <c r="AB23" s="7">
        <f t="shared" si="2"/>
        <v>0</v>
      </c>
      <c r="AC23" s="7">
        <f t="shared" si="3"/>
        <v>0</v>
      </c>
    </row>
    <row r="24" spans="1:47" ht="15" customHeight="1" thickBot="1">
      <c r="A24" s="613" t="s">
        <v>51</v>
      </c>
      <c r="B24" s="627">
        <f t="shared" si="10"/>
        <v>13.119999999999997</v>
      </c>
      <c r="C24" s="626" t="s">
        <v>420</v>
      </c>
      <c r="D24" s="616"/>
      <c r="E24" s="605"/>
      <c r="F24" s="606">
        <v>-264904.5667814</v>
      </c>
      <c r="G24" s="624">
        <v>0</v>
      </c>
      <c r="H24" s="623">
        <f t="shared" si="4"/>
        <v>427920.42461994244</v>
      </c>
      <c r="I24" s="622">
        <f t="shared" si="5"/>
        <v>-5.1405793959097279E-5</v>
      </c>
      <c r="J24" s="607">
        <v>0</v>
      </c>
      <c r="K24" s="607">
        <v>0</v>
      </c>
      <c r="L24" s="623">
        <f t="shared" si="0"/>
        <v>0</v>
      </c>
      <c r="M24" s="606">
        <f>'MCC-2r page 1-6'!Q49</f>
        <v>0</v>
      </c>
      <c r="N24" s="624">
        <f>'MCC-2r page 1-6'!Q51</f>
        <v>0</v>
      </c>
      <c r="O24" s="623">
        <f t="shared" si="6"/>
        <v>0</v>
      </c>
      <c r="P24" s="622">
        <f t="shared" si="7"/>
        <v>0</v>
      </c>
      <c r="Q24" s="615">
        <f t="shared" si="8"/>
        <v>-427920.42461994244</v>
      </c>
      <c r="R24" s="621">
        <f t="shared" si="9"/>
        <v>-427920.42461994244</v>
      </c>
      <c r="Y24" s="555"/>
      <c r="Z24" s="555"/>
      <c r="AA24" s="7">
        <f t="shared" si="1"/>
        <v>0</v>
      </c>
      <c r="AB24" s="7">
        <f t="shared" si="2"/>
        <v>0</v>
      </c>
      <c r="AC24" s="7">
        <f t="shared" si="3"/>
        <v>0</v>
      </c>
    </row>
    <row r="25" spans="1:47" ht="16.5" thickBot="1">
      <c r="A25" s="613"/>
      <c r="B25" s="627">
        <f t="shared" si="10"/>
        <v>13.129999999999997</v>
      </c>
      <c r="C25" s="626" t="s">
        <v>419</v>
      </c>
      <c r="D25" s="616"/>
      <c r="E25" s="605"/>
      <c r="F25" s="606">
        <v>171199.77983333383</v>
      </c>
      <c r="G25" s="624">
        <v>0</v>
      </c>
      <c r="H25" s="623">
        <f t="shared" si="4"/>
        <v>-276551.98010072485</v>
      </c>
      <c r="I25" s="622">
        <f t="shared" si="5"/>
        <v>3.3222004115984749E-5</v>
      </c>
      <c r="J25" s="607">
        <v>171199.77983333383</v>
      </c>
      <c r="K25" s="607">
        <v>0</v>
      </c>
      <c r="L25" s="623">
        <f t="shared" si="0"/>
        <v>-276551.98010072485</v>
      </c>
      <c r="M25" s="606">
        <f>'MCC-2r page 1-6'!R49</f>
        <v>171199.77983333383</v>
      </c>
      <c r="N25" s="624">
        <f>'MCC-2r page 1-6'!R51</f>
        <v>0</v>
      </c>
      <c r="O25" s="623">
        <f t="shared" si="6"/>
        <v>-276551.98010072485</v>
      </c>
      <c r="P25" s="622">
        <f t="shared" si="7"/>
        <v>3.3222004115984749E-5</v>
      </c>
      <c r="Q25" s="615">
        <f t="shared" si="8"/>
        <v>0</v>
      </c>
      <c r="R25" s="621">
        <f t="shared" si="9"/>
        <v>0</v>
      </c>
      <c r="U25" s="647" t="s">
        <v>694</v>
      </c>
      <c r="V25" s="646"/>
      <c r="W25" s="646"/>
      <c r="X25" s="645"/>
      <c r="Y25" s="555"/>
      <c r="Z25" s="555"/>
      <c r="AA25" s="7">
        <f t="shared" si="1"/>
        <v>0</v>
      </c>
      <c r="AB25" s="7">
        <f t="shared" si="2"/>
        <v>0</v>
      </c>
      <c r="AC25" s="7">
        <f t="shared" si="3"/>
        <v>0</v>
      </c>
    </row>
    <row r="26" spans="1:47" ht="14.45" customHeight="1">
      <c r="A26" s="613"/>
      <c r="B26" s="627">
        <f t="shared" si="10"/>
        <v>13.139999999999997</v>
      </c>
      <c r="C26" s="626" t="s">
        <v>418</v>
      </c>
      <c r="D26" s="616"/>
      <c r="E26" s="605"/>
      <c r="F26" s="606">
        <v>66147.120545911268</v>
      </c>
      <c r="G26" s="624">
        <v>0</v>
      </c>
      <c r="H26" s="623">
        <f t="shared" si="4"/>
        <v>-106852.45730305139</v>
      </c>
      <c r="I26" s="622">
        <f t="shared" si="5"/>
        <v>1.2836114118702779E-5</v>
      </c>
      <c r="J26" s="607">
        <v>66147.120545911268</v>
      </c>
      <c r="K26" s="607">
        <v>0</v>
      </c>
      <c r="L26" s="623">
        <f t="shared" si="0"/>
        <v>-106852.45730305139</v>
      </c>
      <c r="M26" s="606">
        <f>'MCC-2r page 1-6'!S49</f>
        <v>66147.120545911268</v>
      </c>
      <c r="N26" s="624">
        <f>'MCC-2r page 1-6'!S51</f>
        <v>0</v>
      </c>
      <c r="O26" s="623">
        <f t="shared" si="6"/>
        <v>-106852.45730305139</v>
      </c>
      <c r="P26" s="622">
        <f t="shared" si="7"/>
        <v>1.2836114118702779E-5</v>
      </c>
      <c r="Q26" s="615">
        <f t="shared" si="8"/>
        <v>0</v>
      </c>
      <c r="R26" s="621">
        <f t="shared" si="9"/>
        <v>0</v>
      </c>
      <c r="U26" s="640" t="s">
        <v>764</v>
      </c>
      <c r="V26" s="17"/>
      <c r="W26" s="17"/>
      <c r="X26" s="639" t="s">
        <v>762</v>
      </c>
      <c r="Y26" s="555"/>
      <c r="Z26" s="555"/>
      <c r="AA26" s="7">
        <f t="shared" si="1"/>
        <v>0</v>
      </c>
      <c r="AB26" s="7">
        <f t="shared" si="2"/>
        <v>0</v>
      </c>
      <c r="AC26" s="7">
        <f t="shared" si="3"/>
        <v>0</v>
      </c>
    </row>
    <row r="27" spans="1:47" ht="15.75">
      <c r="A27" s="613"/>
      <c r="B27" s="627">
        <f t="shared" si="10"/>
        <v>13.149999999999997</v>
      </c>
      <c r="C27" s="626" t="s">
        <v>417</v>
      </c>
      <c r="D27" s="616"/>
      <c r="E27" s="605"/>
      <c r="F27" s="606">
        <v>-1184945.4451730854</v>
      </c>
      <c r="G27" s="624">
        <v>0</v>
      </c>
      <c r="H27" s="623">
        <f t="shared" si="4"/>
        <v>1914132.1880961107</v>
      </c>
      <c r="I27" s="622">
        <f t="shared" si="5"/>
        <v>-2.2994341753876379E-4</v>
      </c>
      <c r="J27" s="607">
        <v>-1184945.4451730854</v>
      </c>
      <c r="K27" s="607">
        <v>0</v>
      </c>
      <c r="L27" s="623">
        <f t="shared" si="0"/>
        <v>1914132.1880961107</v>
      </c>
      <c r="M27" s="644">
        <f>'MCC-2r page 1-6'!T49</f>
        <v>-1184945.4451730854</v>
      </c>
      <c r="N27" s="624">
        <f>'MCC-2r page 1-6'!T51</f>
        <v>0</v>
      </c>
      <c r="O27" s="623">
        <f t="shared" si="6"/>
        <v>1914132.1880961107</v>
      </c>
      <c r="P27" s="622">
        <f t="shared" si="7"/>
        <v>-2.2994341753876379E-4</v>
      </c>
      <c r="Q27" s="615">
        <f t="shared" si="8"/>
        <v>0</v>
      </c>
      <c r="R27" s="621">
        <f t="shared" si="9"/>
        <v>0</v>
      </c>
      <c r="U27" s="636"/>
      <c r="V27" s="17" t="s">
        <v>760</v>
      </c>
      <c r="W27" s="17" t="s">
        <v>759</v>
      </c>
      <c r="X27" s="638"/>
      <c r="Y27" s="555"/>
      <c r="Z27" s="555"/>
      <c r="AA27" s="7">
        <f t="shared" si="1"/>
        <v>0</v>
      </c>
      <c r="AB27" s="7">
        <f t="shared" si="2"/>
        <v>0</v>
      </c>
      <c r="AC27" s="7">
        <f t="shared" si="3"/>
        <v>0</v>
      </c>
    </row>
    <row r="28" spans="1:47" ht="15.75">
      <c r="A28" s="613"/>
      <c r="B28" s="627">
        <f t="shared" si="10"/>
        <v>13.159999999999997</v>
      </c>
      <c r="C28" s="626" t="s">
        <v>416</v>
      </c>
      <c r="D28" s="616"/>
      <c r="E28" s="605"/>
      <c r="F28" s="644">
        <v>-1357715.5890578774</v>
      </c>
      <c r="G28" s="624">
        <v>0</v>
      </c>
      <c r="H28" s="623">
        <f t="shared" si="4"/>
        <v>2193220.8962716763</v>
      </c>
      <c r="I28" s="622">
        <f t="shared" si="5"/>
        <v>-2.6347015709911326E-4</v>
      </c>
      <c r="J28" s="607">
        <v>-1357715.5890578774</v>
      </c>
      <c r="K28" s="607">
        <v>0</v>
      </c>
      <c r="L28" s="623">
        <f t="shared" si="0"/>
        <v>2193220.8962716763</v>
      </c>
      <c r="M28" s="644">
        <f>'MCC-2r page 1-6'!U49</f>
        <v>-1357715.5890578774</v>
      </c>
      <c r="N28" s="624">
        <f>'MCC-2r page 1-6'!U51</f>
        <v>0</v>
      </c>
      <c r="O28" s="623">
        <f t="shared" si="6"/>
        <v>2193220.8962716763</v>
      </c>
      <c r="P28" s="622">
        <f t="shared" si="7"/>
        <v>-2.6347015709911326E-4</v>
      </c>
      <c r="Q28" s="615">
        <f t="shared" si="8"/>
        <v>0</v>
      </c>
      <c r="R28" s="621">
        <f t="shared" si="9"/>
        <v>0</v>
      </c>
      <c r="U28" s="636" t="s">
        <v>758</v>
      </c>
      <c r="V28" s="584">
        <v>0.51500000000000001</v>
      </c>
      <c r="W28" s="584">
        <v>5.8058252427184473E-2</v>
      </c>
      <c r="X28" s="635">
        <f>ROUND(W28*V28,4)</f>
        <v>2.9899999999999999E-2</v>
      </c>
      <c r="Y28" s="555"/>
      <c r="Z28" s="555"/>
      <c r="AA28" s="7">
        <f t="shared" si="1"/>
        <v>0</v>
      </c>
      <c r="AB28" s="7">
        <f t="shared" si="2"/>
        <v>0</v>
      </c>
      <c r="AC28" s="7">
        <f t="shared" si="3"/>
        <v>0</v>
      </c>
    </row>
    <row r="29" spans="1:47" ht="15.75">
      <c r="A29" s="613"/>
      <c r="B29" s="627">
        <f t="shared" si="10"/>
        <v>13.169999999999996</v>
      </c>
      <c r="C29" s="626" t="s">
        <v>415</v>
      </c>
      <c r="D29" s="616"/>
      <c r="E29" s="605"/>
      <c r="F29" s="606">
        <v>-96704.676397892646</v>
      </c>
      <c r="G29" s="624">
        <v>0</v>
      </c>
      <c r="H29" s="623">
        <f t="shared" si="4"/>
        <v>156214.39331798616</v>
      </c>
      <c r="I29" s="622">
        <f t="shared" si="5"/>
        <v>-1.8765930426170585E-5</v>
      </c>
      <c r="J29" s="607">
        <v>-96704.676397892646</v>
      </c>
      <c r="K29" s="607">
        <v>0</v>
      </c>
      <c r="L29" s="623">
        <f t="shared" si="0"/>
        <v>156214.39331798616</v>
      </c>
      <c r="M29" s="606">
        <f>'MCC-2r page 1-6'!V49</f>
        <v>-96704.676397892646</v>
      </c>
      <c r="N29" s="624">
        <f>'MCC-2r page 1-6'!V51</f>
        <v>0</v>
      </c>
      <c r="O29" s="623">
        <f t="shared" si="6"/>
        <v>156214.39331798616</v>
      </c>
      <c r="P29" s="622">
        <f t="shared" si="7"/>
        <v>-1.8765930426170585E-5</v>
      </c>
      <c r="Q29" s="615">
        <f t="shared" si="8"/>
        <v>0</v>
      </c>
      <c r="R29" s="621">
        <f t="shared" si="9"/>
        <v>0</v>
      </c>
      <c r="U29" s="636"/>
      <c r="V29" s="584"/>
      <c r="W29" s="584"/>
      <c r="X29" s="635"/>
      <c r="Y29" s="555"/>
      <c r="Z29" s="555"/>
      <c r="AA29" s="7">
        <f t="shared" si="1"/>
        <v>0</v>
      </c>
      <c r="AB29" s="7">
        <f t="shared" si="2"/>
        <v>0</v>
      </c>
      <c r="AC29" s="7">
        <f t="shared" si="3"/>
        <v>0</v>
      </c>
    </row>
    <row r="30" spans="1:47" ht="15.75">
      <c r="A30" s="613"/>
      <c r="B30" s="627">
        <f t="shared" si="10"/>
        <v>13.179999999999996</v>
      </c>
      <c r="C30" s="626" t="s">
        <v>414</v>
      </c>
      <c r="D30" s="616"/>
      <c r="E30" s="605"/>
      <c r="F30" s="606">
        <v>-121750.92923393101</v>
      </c>
      <c r="G30" s="624">
        <v>0</v>
      </c>
      <c r="H30" s="623">
        <f t="shared" si="4"/>
        <v>196673.5038533675</v>
      </c>
      <c r="I30" s="622">
        <f t="shared" si="5"/>
        <v>-2.3626256272474278E-5</v>
      </c>
      <c r="J30" s="607">
        <v>-121750.92923393101</v>
      </c>
      <c r="K30" s="607">
        <v>0</v>
      </c>
      <c r="L30" s="623">
        <f t="shared" si="0"/>
        <v>196673.5038533675</v>
      </c>
      <c r="M30" s="606">
        <f>'MCC-2r page 1-6'!W49</f>
        <v>-121750.92923393101</v>
      </c>
      <c r="N30" s="624">
        <f>'MCC-2r page 1-6'!W51</f>
        <v>0</v>
      </c>
      <c r="O30" s="623">
        <f t="shared" si="6"/>
        <v>196673.5038533675</v>
      </c>
      <c r="P30" s="622">
        <f t="shared" si="7"/>
        <v>-2.3626256272474278E-5</v>
      </c>
      <c r="Q30" s="615">
        <f t="shared" si="8"/>
        <v>0</v>
      </c>
      <c r="R30" s="621">
        <f t="shared" si="9"/>
        <v>0</v>
      </c>
      <c r="U30" s="636" t="s">
        <v>757</v>
      </c>
      <c r="V30" s="584">
        <v>0</v>
      </c>
      <c r="W30" s="584">
        <v>0</v>
      </c>
      <c r="X30" s="635">
        <f>ROUND(W30*V30,4)</f>
        <v>0</v>
      </c>
      <c r="Y30" s="555"/>
      <c r="Z30" s="555"/>
      <c r="AA30" s="7">
        <f t="shared" si="1"/>
        <v>0</v>
      </c>
      <c r="AB30" s="7">
        <f t="shared" si="2"/>
        <v>0</v>
      </c>
      <c r="AC30" s="7">
        <f t="shared" si="3"/>
        <v>0</v>
      </c>
    </row>
    <row r="31" spans="1:47" ht="15.75">
      <c r="A31" s="613" t="s">
        <v>51</v>
      </c>
      <c r="B31" s="627">
        <f t="shared" si="10"/>
        <v>13.189999999999996</v>
      </c>
      <c r="C31" s="626" t="s">
        <v>413</v>
      </c>
      <c r="D31" s="616"/>
      <c r="E31" s="605"/>
      <c r="F31" s="606">
        <v>-924675.04937016219</v>
      </c>
      <c r="G31" s="624">
        <v>0</v>
      </c>
      <c r="H31" s="623">
        <f t="shared" si="4"/>
        <v>1493697.6910951799</v>
      </c>
      <c r="I31" s="622">
        <f t="shared" si="5"/>
        <v>-1.794369030499593E-4</v>
      </c>
      <c r="J31" s="607">
        <v>-552786.58200000005</v>
      </c>
      <c r="K31" s="607">
        <v>-552786.58200000005</v>
      </c>
      <c r="L31" s="623">
        <f t="shared" si="0"/>
        <v>823843.10913511168</v>
      </c>
      <c r="M31" s="606">
        <f>'MCC-2r page 1-6'!X49</f>
        <v>-552786.58200000005</v>
      </c>
      <c r="N31" s="624">
        <f>'MCC-2r page 1-6'!X51</f>
        <v>-552786.58200000005</v>
      </c>
      <c r="O31" s="623">
        <f t="shared" si="6"/>
        <v>827147.05396905914</v>
      </c>
      <c r="P31" s="622">
        <f t="shared" si="7"/>
        <v>-9.8933683729318656E-5</v>
      </c>
      <c r="Q31" s="615">
        <f t="shared" si="8"/>
        <v>-669854.5819600682</v>
      </c>
      <c r="R31" s="621">
        <f t="shared" si="9"/>
        <v>-666550.63712612074</v>
      </c>
      <c r="U31" s="636" t="s">
        <v>756</v>
      </c>
      <c r="V31" s="584">
        <v>0.48499999999999999</v>
      </c>
      <c r="W31" s="584">
        <v>9.8000000000000004E-2</v>
      </c>
      <c r="X31" s="635">
        <f>ROUND(W31*V31,4)</f>
        <v>4.7500000000000001E-2</v>
      </c>
      <c r="Y31" s="555"/>
      <c r="Z31" s="555"/>
      <c r="AA31" s="7">
        <f t="shared" si="1"/>
        <v>0</v>
      </c>
      <c r="AB31" s="7">
        <f t="shared" si="2"/>
        <v>0</v>
      </c>
      <c r="AC31" s="7">
        <f t="shared" si="3"/>
        <v>-3303.944833947462</v>
      </c>
    </row>
    <row r="32" spans="1:47" ht="15" customHeight="1" thickBot="1">
      <c r="A32" s="613" t="s">
        <v>51</v>
      </c>
      <c r="B32" s="627">
        <f t="shared" si="10"/>
        <v>13.199999999999996</v>
      </c>
      <c r="C32" s="626" t="s">
        <v>412</v>
      </c>
      <c r="D32" s="616"/>
      <c r="E32" s="605"/>
      <c r="F32" s="606">
        <v>-3087501.2730555004</v>
      </c>
      <c r="G32" s="624">
        <v>0</v>
      </c>
      <c r="H32" s="623">
        <f t="shared" si="4"/>
        <v>4987474.8171887295</v>
      </c>
      <c r="I32" s="622">
        <f t="shared" si="5"/>
        <v>-5.9914200883566526E-4</v>
      </c>
      <c r="J32" s="607">
        <v>-2010221.1570587384</v>
      </c>
      <c r="K32" s="607">
        <v>0</v>
      </c>
      <c r="L32" s="623">
        <f t="shared" si="0"/>
        <v>3247262.5955837863</v>
      </c>
      <c r="M32" s="606">
        <f>'MCC-2r page 1-6'!Y49</f>
        <v>-2010221.1570587384</v>
      </c>
      <c r="N32" s="624">
        <f>'MCC-2r page 1-6'!Y51</f>
        <v>0</v>
      </c>
      <c r="O32" s="623">
        <f t="shared" si="6"/>
        <v>3247262.5955837863</v>
      </c>
      <c r="P32" s="622">
        <f t="shared" si="7"/>
        <v>-3.9009148036793506E-4</v>
      </c>
      <c r="Q32" s="615">
        <f t="shared" si="8"/>
        <v>-1740212.2216049433</v>
      </c>
      <c r="R32" s="621">
        <f t="shared" si="9"/>
        <v>-1740212.2216049433</v>
      </c>
      <c r="U32" s="636" t="s">
        <v>702</v>
      </c>
      <c r="V32" s="643">
        <f>SUM(V28:V31)</f>
        <v>1</v>
      </c>
      <c r="W32" s="17"/>
      <c r="X32" s="642">
        <f>SUM(X28:X31)</f>
        <v>7.7399999999999997E-2</v>
      </c>
      <c r="Y32" s="555"/>
      <c r="Z32" s="555"/>
      <c r="AA32" s="7">
        <f t="shared" si="1"/>
        <v>0</v>
      </c>
      <c r="AB32" s="7">
        <f t="shared" si="2"/>
        <v>0</v>
      </c>
      <c r="AC32" s="7">
        <f t="shared" si="3"/>
        <v>0</v>
      </c>
    </row>
    <row r="33" spans="1:29" ht="16.5" thickTop="1">
      <c r="A33" s="613"/>
      <c r="B33" s="627">
        <f t="shared" si="10"/>
        <v>13.209999999999996</v>
      </c>
      <c r="C33" s="626" t="s">
        <v>411</v>
      </c>
      <c r="D33" s="616"/>
      <c r="E33" s="605"/>
      <c r="F33" s="606">
        <v>434046.43987045588</v>
      </c>
      <c r="G33" s="624">
        <v>15915060.097866783</v>
      </c>
      <c r="H33" s="623">
        <f t="shared" si="4"/>
        <v>1288713.2267041537</v>
      </c>
      <c r="I33" s="622">
        <f t="shared" si="5"/>
        <v>-1.5561714534036153E-4</v>
      </c>
      <c r="J33" s="607">
        <v>434046.43987045588</v>
      </c>
      <c r="K33" s="607">
        <v>15915060.097866783</v>
      </c>
      <c r="L33" s="623">
        <f t="shared" si="0"/>
        <v>1288713.2267041537</v>
      </c>
      <c r="M33" s="606">
        <f>'MCC-2r page 1-6'!Z49</f>
        <v>434046.43987045588</v>
      </c>
      <c r="N33" s="624">
        <f>'MCC-2r page 1-6'!Z51</f>
        <v>15915060.097866783</v>
      </c>
      <c r="O33" s="623">
        <f t="shared" si="6"/>
        <v>1193590.6562501732</v>
      </c>
      <c r="P33" s="622">
        <f t="shared" si="7"/>
        <v>-1.5561714534036153E-4</v>
      </c>
      <c r="Q33" s="615">
        <f t="shared" si="8"/>
        <v>0</v>
      </c>
      <c r="R33" s="621">
        <f t="shared" si="9"/>
        <v>-95122.570453980472</v>
      </c>
      <c r="U33" s="636"/>
      <c r="V33" s="17"/>
      <c r="W33" s="17"/>
      <c r="X33" s="641"/>
      <c r="Y33" s="555"/>
      <c r="Z33" s="555"/>
      <c r="AA33" s="7">
        <f t="shared" si="1"/>
        <v>0</v>
      </c>
      <c r="AB33" s="7">
        <f t="shared" si="2"/>
        <v>0</v>
      </c>
      <c r="AC33" s="7">
        <f t="shared" si="3"/>
        <v>95122.570453980472</v>
      </c>
    </row>
    <row r="34" spans="1:29" ht="17.45" customHeight="1">
      <c r="A34" s="613"/>
      <c r="B34" s="627">
        <f t="shared" si="10"/>
        <v>13.219999999999995</v>
      </c>
      <c r="C34" s="626" t="s">
        <v>410</v>
      </c>
      <c r="D34" s="616"/>
      <c r="E34" s="605"/>
      <c r="F34" s="606">
        <v>10262.31709798798</v>
      </c>
      <c r="G34" s="624">
        <v>0</v>
      </c>
      <c r="H34" s="623">
        <f t="shared" si="4"/>
        <v>-16577.498619641967</v>
      </c>
      <c r="I34" s="622">
        <f t="shared" si="5"/>
        <v>1.9914438044305038E-6</v>
      </c>
      <c r="J34" s="607">
        <v>10262.31709798798</v>
      </c>
      <c r="K34" s="607">
        <v>0</v>
      </c>
      <c r="L34" s="623">
        <f t="shared" si="0"/>
        <v>-16577.498619641967</v>
      </c>
      <c r="M34" s="606">
        <f>'MCC-2r page 1-6'!AA49</f>
        <v>10262.31709798798</v>
      </c>
      <c r="N34" s="624">
        <f>'MCC-2r page 1-6'!AA51</f>
        <v>0</v>
      </c>
      <c r="O34" s="623">
        <f t="shared" si="6"/>
        <v>-16577.498619641967</v>
      </c>
      <c r="P34" s="622">
        <f t="shared" si="7"/>
        <v>1.9914438044305038E-6</v>
      </c>
      <c r="Q34" s="615">
        <f t="shared" si="8"/>
        <v>0</v>
      </c>
      <c r="R34" s="621">
        <f t="shared" si="9"/>
        <v>0</v>
      </c>
      <c r="U34" s="640" t="s">
        <v>763</v>
      </c>
      <c r="V34" s="17"/>
      <c r="W34" s="17"/>
      <c r="X34" s="639" t="s">
        <v>762</v>
      </c>
      <c r="Y34" s="555"/>
      <c r="Z34" s="555"/>
      <c r="AA34" s="7">
        <f t="shared" si="1"/>
        <v>0</v>
      </c>
      <c r="AB34" s="7">
        <f t="shared" si="2"/>
        <v>0</v>
      </c>
      <c r="AC34" s="7">
        <f t="shared" si="3"/>
        <v>0</v>
      </c>
    </row>
    <row r="35" spans="1:29" ht="15.75">
      <c r="A35" s="613"/>
      <c r="B35" s="627"/>
      <c r="C35" s="629" t="s">
        <v>761</v>
      </c>
      <c r="D35" s="616"/>
      <c r="E35" s="605"/>
      <c r="F35" s="606"/>
      <c r="G35" s="624"/>
      <c r="H35" s="623"/>
      <c r="I35" s="622"/>
      <c r="J35" s="607"/>
      <c r="K35" s="607"/>
      <c r="L35" s="623">
        <f t="shared" si="0"/>
        <v>0</v>
      </c>
      <c r="M35" s="606"/>
      <c r="N35" s="624"/>
      <c r="O35" s="623"/>
      <c r="P35" s="622"/>
      <c r="Q35" s="615"/>
      <c r="R35" s="621"/>
      <c r="U35" s="636"/>
      <c r="V35" s="17" t="s">
        <v>760</v>
      </c>
      <c r="W35" s="17" t="s">
        <v>759</v>
      </c>
      <c r="X35" s="638"/>
      <c r="Y35" s="555"/>
      <c r="Z35" s="555"/>
      <c r="AA35" s="7">
        <f t="shared" si="1"/>
        <v>0</v>
      </c>
      <c r="AB35" s="7">
        <f t="shared" si="2"/>
        <v>0</v>
      </c>
      <c r="AC35" s="7">
        <f t="shared" si="3"/>
        <v>0</v>
      </c>
    </row>
    <row r="36" spans="1:29" ht="15.75">
      <c r="A36" s="613"/>
      <c r="B36" s="627">
        <v>14.01</v>
      </c>
      <c r="C36" s="626" t="s">
        <v>672</v>
      </c>
      <c r="D36" s="616"/>
      <c r="E36" s="605"/>
      <c r="F36" s="606">
        <v>-14772509.684517041</v>
      </c>
      <c r="G36" s="624">
        <v>0</v>
      </c>
      <c r="H36" s="623">
        <f t="shared" ref="H36:H48" si="11">(-F36+(G36*$X$32))/ConversionFactor</f>
        <v>23863154.545452703</v>
      </c>
      <c r="I36" s="622">
        <f t="shared" ref="I36:I48" si="12">((+F36+F$11)/+(G36+G$11))-I$11</f>
        <v>-2.8666647703652071E-3</v>
      </c>
      <c r="J36" s="607">
        <v>-2829371.8658719659</v>
      </c>
      <c r="K36" s="607">
        <v>0</v>
      </c>
      <c r="L36" s="623">
        <f t="shared" si="0"/>
        <v>4570498.821376536</v>
      </c>
      <c r="M36" s="606">
        <f>'MCC-2r page 1-6'!AD49</f>
        <v>-2829371.8658719659</v>
      </c>
      <c r="N36" s="624">
        <f>'MCC-2r page 1-6'!AD51</f>
        <v>0</v>
      </c>
      <c r="O36" s="623">
        <f t="shared" ref="O36:O48" si="13">(-M36+(N36*$X$14))/ConversionFactor</f>
        <v>4570498.821376536</v>
      </c>
      <c r="P36" s="622">
        <f t="shared" ref="P36:P48" si="14">((+M36+M$11)/+(N36+N$11))-P$11</f>
        <v>-5.4905096177791657E-4</v>
      </c>
      <c r="Q36" s="615">
        <f t="shared" ref="Q36:Q48" si="15">L36-H36</f>
        <v>-19292655.724076167</v>
      </c>
      <c r="R36" s="621">
        <f t="shared" ref="R36:R48" si="16">+O36-H36</f>
        <v>-19292655.724076167</v>
      </c>
      <c r="U36" s="636" t="s">
        <v>758</v>
      </c>
      <c r="V36" s="584">
        <v>0.51500000000000001</v>
      </c>
      <c r="W36" s="584">
        <v>3.7737864077669908E-2</v>
      </c>
      <c r="X36" s="635">
        <f>ROUND(W36*V36,4)</f>
        <v>1.9400000000000001E-2</v>
      </c>
      <c r="Y36" s="555"/>
      <c r="Z36" s="555"/>
      <c r="AA36" s="7">
        <f t="shared" si="1"/>
        <v>0</v>
      </c>
      <c r="AB36" s="7">
        <f t="shared" si="2"/>
        <v>0</v>
      </c>
      <c r="AC36" s="7">
        <f t="shared" si="3"/>
        <v>0</v>
      </c>
    </row>
    <row r="37" spans="1:29" ht="15.75">
      <c r="A37" s="613"/>
      <c r="B37" s="627">
        <f t="shared" ref="B37:B48" si="17">B36+0.01</f>
        <v>14.02</v>
      </c>
      <c r="C37" s="626" t="s">
        <v>671</v>
      </c>
      <c r="D37" s="616"/>
      <c r="E37" s="605"/>
      <c r="F37" s="606">
        <v>61133.271335334284</v>
      </c>
      <c r="G37" s="624">
        <v>0</v>
      </c>
      <c r="H37" s="623">
        <f t="shared" si="11"/>
        <v>-98753.206658795942</v>
      </c>
      <c r="I37" s="622">
        <f t="shared" si="12"/>
        <v>1.1863156564248523E-5</v>
      </c>
      <c r="J37" s="607">
        <v>61133.271335334284</v>
      </c>
      <c r="K37" s="607">
        <v>0</v>
      </c>
      <c r="L37" s="623">
        <f t="shared" si="0"/>
        <v>-98753.206658795942</v>
      </c>
      <c r="M37" s="606">
        <f>'MCC-2r page 1-6'!AE49</f>
        <v>61133.271335334284</v>
      </c>
      <c r="N37" s="624">
        <f>'MCC-2r page 1-6'!AE51</f>
        <v>0</v>
      </c>
      <c r="O37" s="623">
        <f t="shared" si="13"/>
        <v>-98753.206658795942</v>
      </c>
      <c r="P37" s="622">
        <f t="shared" si="14"/>
        <v>1.1863156564248523E-5</v>
      </c>
      <c r="Q37" s="615">
        <f t="shared" si="15"/>
        <v>0</v>
      </c>
      <c r="R37" s="637">
        <f t="shared" si="16"/>
        <v>0</v>
      </c>
      <c r="U37" s="636"/>
      <c r="V37" s="584"/>
      <c r="W37" s="584"/>
      <c r="X37" s="635"/>
      <c r="Y37" s="555"/>
      <c r="Z37" s="555"/>
      <c r="AA37" s="7">
        <f t="shared" si="1"/>
        <v>0</v>
      </c>
      <c r="AB37" s="7">
        <f t="shared" si="2"/>
        <v>0</v>
      </c>
      <c r="AC37" s="7">
        <f t="shared" si="3"/>
        <v>0</v>
      </c>
    </row>
    <row r="38" spans="1:29" ht="15.75">
      <c r="A38" s="613"/>
      <c r="B38" s="627">
        <f t="shared" si="17"/>
        <v>14.03</v>
      </c>
      <c r="C38" s="626" t="s">
        <v>670</v>
      </c>
      <c r="D38" s="616"/>
      <c r="E38" s="605"/>
      <c r="F38" s="606">
        <v>137890.37865459672</v>
      </c>
      <c r="G38" s="624">
        <v>-1969341.3363122563</v>
      </c>
      <c r="H38" s="623">
        <f t="shared" si="11"/>
        <v>-468971.6971383057</v>
      </c>
      <c r="I38" s="622">
        <f t="shared" si="12"/>
        <v>5.6517922588261715E-5</v>
      </c>
      <c r="J38" s="607">
        <v>137890.37865459672</v>
      </c>
      <c r="K38" s="607">
        <v>-1969341.3363122563</v>
      </c>
      <c r="L38" s="623">
        <f t="shared" si="0"/>
        <v>-468971.6971383057</v>
      </c>
      <c r="M38" s="606">
        <f>'MCC-2r page 1-6'!AF49</f>
        <v>137890.37865459672</v>
      </c>
      <c r="N38" s="624">
        <f>'MCC-2r page 1-6'!AF51</f>
        <v>-1969341.3363122563</v>
      </c>
      <c r="O38" s="623">
        <f t="shared" si="13"/>
        <v>-457201.15974420524</v>
      </c>
      <c r="P38" s="622">
        <f t="shared" si="14"/>
        <v>5.6517922588261715E-5</v>
      </c>
      <c r="Q38" s="615">
        <f t="shared" si="15"/>
        <v>0</v>
      </c>
      <c r="R38" s="621">
        <f t="shared" si="16"/>
        <v>11770.537394100451</v>
      </c>
      <c r="U38" s="636" t="s">
        <v>757</v>
      </c>
      <c r="V38" s="584">
        <v>0</v>
      </c>
      <c r="W38" s="584">
        <v>0</v>
      </c>
      <c r="X38" s="635">
        <f>ROUND(W38*V38,4)</f>
        <v>0</v>
      </c>
      <c r="Y38" s="555"/>
      <c r="Z38" s="555"/>
      <c r="AA38" s="7">
        <f t="shared" si="1"/>
        <v>0</v>
      </c>
      <c r="AB38" s="7">
        <f t="shared" si="2"/>
        <v>0</v>
      </c>
      <c r="AC38" s="7">
        <f t="shared" si="3"/>
        <v>-11770.537394100451</v>
      </c>
    </row>
    <row r="39" spans="1:29" ht="15.75">
      <c r="A39" s="613"/>
      <c r="B39" s="627">
        <f t="shared" si="17"/>
        <v>14.04</v>
      </c>
      <c r="C39" s="626" t="s">
        <v>669</v>
      </c>
      <c r="D39" s="616"/>
      <c r="E39" s="605"/>
      <c r="F39" s="606">
        <v>-41672583.95949994</v>
      </c>
      <c r="G39" s="624">
        <v>0</v>
      </c>
      <c r="H39" s="623">
        <f t="shared" si="11"/>
        <v>67316883.357752338</v>
      </c>
      <c r="I39" s="622">
        <f t="shared" si="12"/>
        <v>-8.0867321042944473E-3</v>
      </c>
      <c r="J39" s="607">
        <v>-41672583.95949994</v>
      </c>
      <c r="K39" s="607">
        <v>0</v>
      </c>
      <c r="L39" s="623">
        <f t="shared" si="0"/>
        <v>67316883.357752338</v>
      </c>
      <c r="M39" s="606">
        <f>'MCC-2r page 1-6'!AG49</f>
        <v>-41672583.95949994</v>
      </c>
      <c r="N39" s="624">
        <f>'MCC-2r page 1-6'!AG51</f>
        <v>0</v>
      </c>
      <c r="O39" s="623">
        <f t="shared" si="13"/>
        <v>67316883.357752338</v>
      </c>
      <c r="P39" s="622">
        <f t="shared" si="14"/>
        <v>-8.0867321042944473E-3</v>
      </c>
      <c r="Q39" s="615">
        <f t="shared" si="15"/>
        <v>0</v>
      </c>
      <c r="R39" s="621">
        <f t="shared" si="16"/>
        <v>0</v>
      </c>
      <c r="U39" s="636" t="s">
        <v>756</v>
      </c>
      <c r="V39" s="584">
        <v>0.48499999999999999</v>
      </c>
      <c r="W39" s="584">
        <v>9.8000000000000004E-2</v>
      </c>
      <c r="X39" s="635">
        <f>ROUND(W39*V39,4)</f>
        <v>4.7500000000000001E-2</v>
      </c>
      <c r="Y39" s="555"/>
      <c r="Z39" s="555"/>
      <c r="AA39" s="7">
        <f t="shared" si="1"/>
        <v>0</v>
      </c>
      <c r="AB39" s="7">
        <f t="shared" si="2"/>
        <v>0</v>
      </c>
      <c r="AC39" s="7">
        <f t="shared" si="3"/>
        <v>0</v>
      </c>
    </row>
    <row r="40" spans="1:29" ht="16.5" thickBot="1">
      <c r="A40" s="613"/>
      <c r="B40" s="627">
        <f t="shared" si="17"/>
        <v>14.049999999999999</v>
      </c>
      <c r="C40" s="626" t="s">
        <v>668</v>
      </c>
      <c r="D40" s="616"/>
      <c r="E40" s="605"/>
      <c r="F40" s="606">
        <v>-8389017.6852083355</v>
      </c>
      <c r="G40" s="624">
        <v>0</v>
      </c>
      <c r="H40" s="623">
        <f t="shared" si="11"/>
        <v>13551416.09529479</v>
      </c>
      <c r="I40" s="622">
        <f t="shared" si="12"/>
        <v>-1.6279225378584422E-3</v>
      </c>
      <c r="J40" s="607">
        <v>-637694.32024999673</v>
      </c>
      <c r="K40" s="607">
        <v>-31639936.25</v>
      </c>
      <c r="L40" s="623">
        <f t="shared" si="0"/>
        <v>-2925827.9939778848</v>
      </c>
      <c r="M40" s="606">
        <f>'MCC-2r page 1-6'!AH49</f>
        <v>-637694.32024999673</v>
      </c>
      <c r="N40" s="624">
        <f>'MCC-2r page 1-6'!AH51</f>
        <v>-31639936.25</v>
      </c>
      <c r="O40" s="623">
        <f t="shared" si="13"/>
        <v>-2736719.5616758605</v>
      </c>
      <c r="P40" s="622">
        <f t="shared" si="14"/>
        <v>3.5622052588445141E-4</v>
      </c>
      <c r="Q40" s="615">
        <f t="shared" si="15"/>
        <v>-16477244.089272674</v>
      </c>
      <c r="R40" s="621">
        <f t="shared" si="16"/>
        <v>-16288135.65697065</v>
      </c>
      <c r="U40" s="634" t="s">
        <v>702</v>
      </c>
      <c r="V40" s="633">
        <f>SUM(V36:V39)</f>
        <v>1</v>
      </c>
      <c r="W40" s="632"/>
      <c r="X40" s="631">
        <f>SUM(X36:X39)</f>
        <v>6.6900000000000001E-2</v>
      </c>
      <c r="Y40" s="555"/>
      <c r="Z40" s="555"/>
      <c r="AA40" s="7">
        <f t="shared" si="1"/>
        <v>0</v>
      </c>
      <c r="AB40" s="7">
        <f t="shared" si="2"/>
        <v>0</v>
      </c>
      <c r="AC40" s="7">
        <f t="shared" si="3"/>
        <v>-189108.43230202422</v>
      </c>
    </row>
    <row r="41" spans="1:29" ht="15.75">
      <c r="A41" s="613"/>
      <c r="B41" s="627">
        <f t="shared" si="17"/>
        <v>14.059999999999999</v>
      </c>
      <c r="C41" s="626" t="s">
        <v>667</v>
      </c>
      <c r="D41" s="616"/>
      <c r="E41" s="605"/>
      <c r="F41" s="606">
        <v>1736211.9514499884</v>
      </c>
      <c r="G41" s="624">
        <v>-44085326.485419184</v>
      </c>
      <c r="H41" s="623">
        <f t="shared" si="11"/>
        <v>-8316626.9361028951</v>
      </c>
      <c r="I41" s="622">
        <f t="shared" si="12"/>
        <v>1.0112831508629072E-3</v>
      </c>
      <c r="J41" s="607">
        <v>1736211.9514499884</v>
      </c>
      <c r="K41" s="607">
        <v>-44085326.485419184</v>
      </c>
      <c r="L41" s="623">
        <f t="shared" si="0"/>
        <v>-8316626.9361028951</v>
      </c>
      <c r="M41" s="606">
        <f>'MCC-2r page 1-6'!AI49</f>
        <v>1736211.9514499884</v>
      </c>
      <c r="N41" s="624">
        <f>'MCC-2r page 1-6'!AI51</f>
        <v>-44085326.485419184</v>
      </c>
      <c r="O41" s="623">
        <f t="shared" si="13"/>
        <v>-8053133.7699565655</v>
      </c>
      <c r="P41" s="622">
        <f t="shared" si="14"/>
        <v>1.0112831508629072E-3</v>
      </c>
      <c r="Q41" s="615">
        <f t="shared" si="15"/>
        <v>0</v>
      </c>
      <c r="R41" s="621">
        <f t="shared" si="16"/>
        <v>263493.1661463296</v>
      </c>
      <c r="Y41" s="555"/>
      <c r="Z41" s="555"/>
      <c r="AA41" s="7">
        <f t="shared" si="1"/>
        <v>0</v>
      </c>
      <c r="AB41" s="7">
        <f t="shared" si="2"/>
        <v>0</v>
      </c>
      <c r="AC41" s="7">
        <f t="shared" si="3"/>
        <v>-263493.1661463296</v>
      </c>
    </row>
    <row r="42" spans="1:29" ht="15.75">
      <c r="A42" s="613"/>
      <c r="B42" s="627">
        <f t="shared" si="17"/>
        <v>14.069999999999999</v>
      </c>
      <c r="C42" s="626" t="s">
        <v>666</v>
      </c>
      <c r="D42" s="616"/>
      <c r="E42" s="605"/>
      <c r="F42" s="606">
        <v>-145490.32262849354</v>
      </c>
      <c r="G42" s="624">
        <v>2842787.0613208562</v>
      </c>
      <c r="H42" s="623">
        <f t="shared" si="11"/>
        <v>590455.45710244845</v>
      </c>
      <c r="I42" s="622">
        <f t="shared" si="12"/>
        <v>-7.1121402159257663E-5</v>
      </c>
      <c r="J42" s="607">
        <v>-145490.32262849354</v>
      </c>
      <c r="K42" s="607">
        <v>2842787.0613208562</v>
      </c>
      <c r="L42" s="623">
        <f t="shared" si="0"/>
        <v>590455.45710244845</v>
      </c>
      <c r="M42" s="606">
        <f>'MCC-2r page 1-6'!AJ49</f>
        <v>-145490.32262849354</v>
      </c>
      <c r="N42" s="624">
        <f>'MCC-2r page 1-6'!AJ51</f>
        <v>2842787.0613208562</v>
      </c>
      <c r="O42" s="623">
        <f t="shared" si="13"/>
        <v>573464.43031000777</v>
      </c>
      <c r="P42" s="622">
        <f t="shared" si="14"/>
        <v>-7.1121402159257663E-5</v>
      </c>
      <c r="Q42" s="615">
        <f t="shared" si="15"/>
        <v>0</v>
      </c>
      <c r="R42" s="621">
        <f t="shared" si="16"/>
        <v>-16991.02679244068</v>
      </c>
      <c r="Y42" s="555"/>
      <c r="Z42" s="555"/>
      <c r="AA42" s="7">
        <f t="shared" si="1"/>
        <v>0</v>
      </c>
      <c r="AB42" s="7">
        <f t="shared" si="2"/>
        <v>0</v>
      </c>
      <c r="AC42" s="7">
        <f t="shared" si="3"/>
        <v>16991.02679244068</v>
      </c>
    </row>
    <row r="43" spans="1:29" ht="15.75">
      <c r="A43" s="613"/>
      <c r="B43" s="627">
        <f t="shared" si="17"/>
        <v>14.079999999999998</v>
      </c>
      <c r="C43" s="626" t="s">
        <v>665</v>
      </c>
      <c r="D43" s="616"/>
      <c r="E43" s="605"/>
      <c r="F43" s="606">
        <v>-3492716.8900000006</v>
      </c>
      <c r="G43" s="624">
        <v>5131869.0972135225</v>
      </c>
      <c r="H43" s="623">
        <f t="shared" si="11"/>
        <v>6283688.3522106046</v>
      </c>
      <c r="I43" s="622">
        <f t="shared" si="12"/>
        <v>-7.545183901271485E-4</v>
      </c>
      <c r="J43" s="607">
        <v>0</v>
      </c>
      <c r="K43" s="607">
        <v>0</v>
      </c>
      <c r="L43" s="623">
        <f t="shared" si="0"/>
        <v>0</v>
      </c>
      <c r="M43" s="606">
        <f>'MCC-2r page 1-6'!AK49</f>
        <v>0</v>
      </c>
      <c r="N43" s="624">
        <f>'MCC-2r page 1-6'!AK51</f>
        <v>0</v>
      </c>
      <c r="O43" s="623">
        <f t="shared" si="13"/>
        <v>0</v>
      </c>
      <c r="P43" s="622">
        <f t="shared" si="14"/>
        <v>0</v>
      </c>
      <c r="Q43" s="615">
        <f t="shared" si="15"/>
        <v>-6283688.3522106046</v>
      </c>
      <c r="R43" s="621">
        <f t="shared" si="16"/>
        <v>-6283688.3522106046</v>
      </c>
      <c r="Y43" s="555"/>
      <c r="Z43" s="555"/>
      <c r="AA43" s="7">
        <f t="shared" si="1"/>
        <v>0</v>
      </c>
      <c r="AB43" s="7">
        <f t="shared" si="2"/>
        <v>0</v>
      </c>
      <c r="AC43" s="7">
        <f t="shared" si="3"/>
        <v>0</v>
      </c>
    </row>
    <row r="44" spans="1:29" ht="15.75">
      <c r="A44" s="613"/>
      <c r="B44" s="627">
        <f t="shared" si="17"/>
        <v>14.089999999999998</v>
      </c>
      <c r="C44" s="626" t="s">
        <v>664</v>
      </c>
      <c r="D44" s="616"/>
      <c r="E44" s="605"/>
      <c r="F44" s="606">
        <v>2156.0948424596518</v>
      </c>
      <c r="G44" s="624">
        <v>18140954.4063752</v>
      </c>
      <c r="H44" s="623">
        <f t="shared" si="11"/>
        <v>2264682.1929226848</v>
      </c>
      <c r="I44" s="622">
        <f t="shared" si="12"/>
        <v>-2.7256053717700235E-4</v>
      </c>
      <c r="J44" s="607">
        <v>2156.0948424596518</v>
      </c>
      <c r="K44" s="607">
        <v>18140954.4063752</v>
      </c>
      <c r="L44" s="623">
        <f t="shared" si="0"/>
        <v>2264682.1929226848</v>
      </c>
      <c r="M44" s="606">
        <f>'MCC-2r page 1-6'!AL49</f>
        <v>2156.0948424596518</v>
      </c>
      <c r="N44" s="624">
        <f>'MCC-2r page 1-6'!AL51</f>
        <v>18140954.4063752</v>
      </c>
      <c r="O44" s="623">
        <f t="shared" si="13"/>
        <v>2156255.6960692941</v>
      </c>
      <c r="P44" s="622">
        <f t="shared" si="14"/>
        <v>-2.7256053717700235E-4</v>
      </c>
      <c r="Q44" s="615">
        <f t="shared" si="15"/>
        <v>0</v>
      </c>
      <c r="R44" s="630">
        <f t="shared" si="16"/>
        <v>-108426.49685339071</v>
      </c>
      <c r="Y44" s="555"/>
      <c r="Z44" s="555"/>
      <c r="AA44" s="7">
        <f t="shared" si="1"/>
        <v>0</v>
      </c>
      <c r="AB44" s="7">
        <f t="shared" si="2"/>
        <v>0</v>
      </c>
      <c r="AC44" s="7">
        <f t="shared" si="3"/>
        <v>108426.49685339071</v>
      </c>
    </row>
    <row r="45" spans="1:29" ht="15.75">
      <c r="A45" s="613"/>
      <c r="B45" s="627">
        <f t="shared" si="17"/>
        <v>14.099999999999998</v>
      </c>
      <c r="C45" s="626" t="s">
        <v>663</v>
      </c>
      <c r="D45" s="616"/>
      <c r="E45" s="605"/>
      <c r="F45" s="606">
        <v>0</v>
      </c>
      <c r="G45" s="624">
        <v>19004590.008907948</v>
      </c>
      <c r="H45" s="623">
        <f t="shared" si="11"/>
        <v>2376145.530318948</v>
      </c>
      <c r="I45" s="622">
        <f t="shared" si="12"/>
        <v>-2.8592534369543954E-4</v>
      </c>
      <c r="J45" s="607">
        <v>0</v>
      </c>
      <c r="K45" s="607">
        <v>19004590.008907948</v>
      </c>
      <c r="L45" s="623">
        <f t="shared" si="0"/>
        <v>2376145.530318948</v>
      </c>
      <c r="M45" s="606">
        <f>'MCC-2r page 1-6'!AM49</f>
        <v>0</v>
      </c>
      <c r="N45" s="624">
        <f>'MCC-2r page 1-6'!AM51</f>
        <v>19004590.008907948</v>
      </c>
      <c r="O45" s="623">
        <f t="shared" si="13"/>
        <v>2262557.1780943992</v>
      </c>
      <c r="P45" s="622">
        <f t="shared" si="14"/>
        <v>-2.8592534369543954E-4</v>
      </c>
      <c r="Q45" s="615">
        <f t="shared" si="15"/>
        <v>0</v>
      </c>
      <c r="R45" s="621">
        <f t="shared" si="16"/>
        <v>-113588.35222454881</v>
      </c>
      <c r="Y45" s="555"/>
      <c r="Z45" s="555"/>
      <c r="AA45" s="7">
        <f t="shared" si="1"/>
        <v>0</v>
      </c>
      <c r="AB45" s="7">
        <f t="shared" si="2"/>
        <v>0</v>
      </c>
      <c r="AC45" s="7">
        <f t="shared" si="3"/>
        <v>113588.35222454881</v>
      </c>
    </row>
    <row r="46" spans="1:29" ht="15.75">
      <c r="A46" s="613"/>
      <c r="B46" s="627">
        <f t="shared" si="17"/>
        <v>14.109999999999998</v>
      </c>
      <c r="C46" s="626" t="s">
        <v>662</v>
      </c>
      <c r="D46" s="616"/>
      <c r="E46" s="605"/>
      <c r="F46" s="606">
        <v>-3288310.2380116768</v>
      </c>
      <c r="G46" s="624">
        <v>-4108724.3018971421</v>
      </c>
      <c r="H46" s="623">
        <f t="shared" si="11"/>
        <v>4798142.6038320558</v>
      </c>
      <c r="I46" s="622">
        <f t="shared" si="12"/>
        <v>-5.7652545841120617E-4</v>
      </c>
      <c r="J46" s="607">
        <v>0</v>
      </c>
      <c r="K46" s="607">
        <v>-2464569.1828912995</v>
      </c>
      <c r="L46" s="623">
        <f t="shared" si="0"/>
        <v>-308145.29781195184</v>
      </c>
      <c r="M46" s="606">
        <f>'MCC-2r page 1-6'!AN49</f>
        <v>0</v>
      </c>
      <c r="N46" s="624">
        <f>'MCC-2r page 1-6'!AN51</f>
        <v>-2464569.1828912995</v>
      </c>
      <c r="O46" s="623">
        <f t="shared" si="13"/>
        <v>-293414.83783902903</v>
      </c>
      <c r="P46" s="622">
        <f t="shared" si="14"/>
        <v>3.723416437678706E-5</v>
      </c>
      <c r="Q46" s="615">
        <f t="shared" si="15"/>
        <v>-5106287.9016440073</v>
      </c>
      <c r="R46" s="621">
        <f t="shared" si="16"/>
        <v>-5091557.4416710846</v>
      </c>
      <c r="Y46" s="555"/>
      <c r="Z46" s="555"/>
      <c r="AA46" s="7">
        <f t="shared" si="1"/>
        <v>0</v>
      </c>
      <c r="AB46" s="7">
        <f t="shared" si="2"/>
        <v>0</v>
      </c>
      <c r="AC46" s="7">
        <f t="shared" si="3"/>
        <v>-14730.459972922807</v>
      </c>
    </row>
    <row r="47" spans="1:29" ht="15.75">
      <c r="A47" s="613"/>
      <c r="B47" s="627">
        <f t="shared" si="17"/>
        <v>14.119999999999997</v>
      </c>
      <c r="C47" s="626" t="s">
        <v>661</v>
      </c>
      <c r="D47" s="616"/>
      <c r="E47" s="605"/>
      <c r="F47" s="606">
        <v>-2131857</v>
      </c>
      <c r="G47" s="624">
        <v>5739614.9999999851</v>
      </c>
      <c r="H47" s="623">
        <f t="shared" si="11"/>
        <v>4161374.7510302039</v>
      </c>
      <c r="I47" s="622">
        <f t="shared" si="12"/>
        <v>-4.9981007623794982E-4</v>
      </c>
      <c r="J47" s="607">
        <v>-1571598.166666667</v>
      </c>
      <c r="K47" s="607">
        <v>69639614.979849741</v>
      </c>
      <c r="L47" s="623">
        <f t="shared" si="0"/>
        <v>11245768.710666869</v>
      </c>
      <c r="M47" s="606">
        <f>'MCC-2r page 1-6'!AO49</f>
        <v>-1571598.166666667</v>
      </c>
      <c r="N47" s="624">
        <f>'MCC-2r page 1-6'!AO51</f>
        <v>69639614.979849741</v>
      </c>
      <c r="O47" s="623">
        <f t="shared" si="13"/>
        <v>10829540.362072904</v>
      </c>
      <c r="P47" s="622">
        <f t="shared" si="14"/>
        <v>-1.3384835426873271E-3</v>
      </c>
      <c r="Q47" s="615">
        <f t="shared" si="15"/>
        <v>7084393.9596366649</v>
      </c>
      <c r="R47" s="621">
        <f t="shared" si="16"/>
        <v>6668165.6110426998</v>
      </c>
      <c r="Y47" s="555"/>
      <c r="Z47" s="555"/>
      <c r="AA47" s="7">
        <f t="shared" si="1"/>
        <v>0</v>
      </c>
      <c r="AB47" s="7">
        <f t="shared" si="2"/>
        <v>0</v>
      </c>
      <c r="AC47" s="7">
        <f t="shared" si="3"/>
        <v>416228.34859396517</v>
      </c>
    </row>
    <row r="48" spans="1:29" ht="15.75">
      <c r="A48" s="613"/>
      <c r="B48" s="627">
        <f t="shared" si="17"/>
        <v>14.129999999999997</v>
      </c>
      <c r="C48" s="626" t="s">
        <v>660</v>
      </c>
      <c r="D48" s="616"/>
      <c r="E48" s="605"/>
      <c r="F48" s="606">
        <v>3129292.1922478941</v>
      </c>
      <c r="G48" s="624">
        <v>-54762869.208236404</v>
      </c>
      <c r="H48" s="623">
        <f t="shared" si="11"/>
        <v>-11901989.12361888</v>
      </c>
      <c r="I48" s="622">
        <f t="shared" si="12"/>
        <v>1.4496061948536254E-3</v>
      </c>
      <c r="J48" s="607">
        <v>34156.472365063768</v>
      </c>
      <c r="K48" s="607">
        <v>0</v>
      </c>
      <c r="L48" s="623">
        <f t="shared" si="0"/>
        <v>-55175.53863100741</v>
      </c>
      <c r="M48" s="606">
        <f>'MCC-2r page 1-6'!AP49</f>
        <v>34156.472365063768</v>
      </c>
      <c r="N48" s="624">
        <f>'MCC-2r page 1-6'!AP51</f>
        <v>0</v>
      </c>
      <c r="O48" s="623">
        <f t="shared" si="13"/>
        <v>-55175.53863100741</v>
      </c>
      <c r="P48" s="622">
        <f t="shared" si="14"/>
        <v>6.6282004953788221E-6</v>
      </c>
      <c r="Q48" s="615">
        <f t="shared" si="15"/>
        <v>11846813.584987873</v>
      </c>
      <c r="R48" s="621">
        <f t="shared" si="16"/>
        <v>11846813.584987873</v>
      </c>
      <c r="Y48" s="555"/>
      <c r="Z48" s="555"/>
      <c r="AA48" s="7">
        <f t="shared" si="1"/>
        <v>0</v>
      </c>
      <c r="AB48" s="7">
        <f t="shared" si="2"/>
        <v>0</v>
      </c>
      <c r="AC48" s="7">
        <f t="shared" si="3"/>
        <v>0</v>
      </c>
    </row>
    <row r="49" spans="1:29" ht="15.75">
      <c r="A49" s="613"/>
      <c r="B49" s="627"/>
      <c r="C49" s="629" t="s">
        <v>755</v>
      </c>
      <c r="D49" s="616"/>
      <c r="E49" s="605"/>
      <c r="F49" s="606"/>
      <c r="G49" s="624"/>
      <c r="H49" s="623"/>
      <c r="I49" s="622"/>
      <c r="J49" s="607"/>
      <c r="K49" s="607"/>
      <c r="L49" s="623">
        <f t="shared" si="0"/>
        <v>0</v>
      </c>
      <c r="M49" s="606"/>
      <c r="N49" s="624"/>
      <c r="O49" s="623"/>
      <c r="P49" s="622"/>
      <c r="Q49" s="615"/>
      <c r="R49" s="621"/>
      <c r="Y49" s="555"/>
      <c r="Z49" s="555"/>
      <c r="AA49" s="7">
        <f t="shared" si="1"/>
        <v>0</v>
      </c>
      <c r="AB49" s="7">
        <f t="shared" si="2"/>
        <v>0</v>
      </c>
      <c r="AC49" s="7">
        <f t="shared" si="3"/>
        <v>0</v>
      </c>
    </row>
    <row r="50" spans="1:29" ht="15.75">
      <c r="A50" s="613"/>
      <c r="B50" s="628" t="s">
        <v>56</v>
      </c>
      <c r="C50" s="626" t="s">
        <v>425</v>
      </c>
      <c r="D50" s="616"/>
      <c r="E50" s="605"/>
      <c r="F50" s="606">
        <v>0</v>
      </c>
      <c r="G50" s="624">
        <v>0</v>
      </c>
      <c r="H50" s="623">
        <f>(-F50+(G50*$X$32))/ConversionFactor</f>
        <v>0</v>
      </c>
      <c r="I50" s="622">
        <f>((+F50+F$11)/+(G50+G$11))-I$11</f>
        <v>0</v>
      </c>
      <c r="J50" s="607">
        <v>-4608844.2836874295</v>
      </c>
      <c r="K50" s="607">
        <v>-127629534.00980572</v>
      </c>
      <c r="L50" s="623">
        <f t="shared" si="0"/>
        <v>-8512516.1718041543</v>
      </c>
      <c r="M50" s="606">
        <f>'MCC-2r page 1-6'!K49</f>
        <v>-4608844.2836874295</v>
      </c>
      <c r="N50" s="624">
        <f>'MCC-2r page 1-6'!K51</f>
        <v>-127629534.00980572</v>
      </c>
      <c r="O50" s="623">
        <f>(-M50+(N50*$X$14))/ConversionFactor</f>
        <v>-7749688.4308970543</v>
      </c>
      <c r="P50" s="622">
        <f>((+M50+M$11)/+(N50+N$11))-P$11</f>
        <v>1.0591436127712073E-3</v>
      </c>
      <c r="Q50" s="615">
        <f>L50-H50</f>
        <v>-8512516.1718041543</v>
      </c>
      <c r="R50" s="621">
        <f>+O50-H50</f>
        <v>-7749688.4308970543</v>
      </c>
      <c r="Y50" s="555"/>
      <c r="Z50" s="555"/>
      <c r="AA50" s="7">
        <f t="shared" si="1"/>
        <v>0</v>
      </c>
      <c r="AB50" s="7">
        <f t="shared" si="2"/>
        <v>0</v>
      </c>
      <c r="AC50" s="7">
        <f t="shared" si="3"/>
        <v>-762827.74090710003</v>
      </c>
    </row>
    <row r="51" spans="1:29" ht="15.75">
      <c r="A51" s="613"/>
      <c r="B51" s="627">
        <v>13.23</v>
      </c>
      <c r="C51" s="626" t="s">
        <v>754</v>
      </c>
      <c r="D51" s="616"/>
      <c r="E51" s="605"/>
      <c r="F51" s="606">
        <v>0</v>
      </c>
      <c r="G51" s="624">
        <v>0</v>
      </c>
      <c r="H51" s="623">
        <f>(-F51+(G51*$X$32))/ConversionFactor</f>
        <v>0</v>
      </c>
      <c r="I51" s="622">
        <f>((+F51+F$11)/+(G51+G$11))-I$11</f>
        <v>0</v>
      </c>
      <c r="J51" s="607">
        <v>0</v>
      </c>
      <c r="K51" s="889">
        <v>15990937.271673262</v>
      </c>
      <c r="L51" s="890">
        <f t="shared" si="0"/>
        <v>1999348.2682808207</v>
      </c>
      <c r="M51" s="606">
        <f>'MCC-2r page 1-6'!AB49</f>
        <v>0</v>
      </c>
      <c r="N51" s="892">
        <f>'MCC-2r page 1-6'!AB51</f>
        <v>15990937.271673262</v>
      </c>
      <c r="O51" s="890">
        <f>(-M51+(N51*$X$14))/ConversionFactor</f>
        <v>1903772.1882725644</v>
      </c>
      <c r="P51" s="893">
        <f>((+M51+M$11)/+(N51+N$11))-P$11</f>
        <v>-2.4072499562603766E-4</v>
      </c>
      <c r="Q51" s="615">
        <f>L51-H51</f>
        <v>1999348.2682808207</v>
      </c>
      <c r="R51" s="621">
        <f>+O51-H51</f>
        <v>1903772.1882725644</v>
      </c>
      <c r="Y51" s="555"/>
      <c r="Z51" s="555"/>
      <c r="AA51" s="7">
        <f t="shared" si="1"/>
        <v>0</v>
      </c>
      <c r="AB51" s="7">
        <f t="shared" si="2"/>
        <v>0</v>
      </c>
      <c r="AC51" s="7">
        <f t="shared" si="3"/>
        <v>95576.080008256249</v>
      </c>
    </row>
    <row r="52" spans="1:29" ht="15.75">
      <c r="A52" s="613"/>
      <c r="B52" s="627">
        <v>13.24</v>
      </c>
      <c r="C52" s="626" t="s">
        <v>753</v>
      </c>
      <c r="D52" s="616"/>
      <c r="E52" s="605"/>
      <c r="F52" s="606">
        <v>0</v>
      </c>
      <c r="G52" s="624">
        <v>0</v>
      </c>
      <c r="H52" s="623">
        <f>(-F52+(G52*$X$32))/ConversionFactor</f>
        <v>0</v>
      </c>
      <c r="I52" s="622">
        <f>((+F52+F$11)/+(G52+G$11))-I$11</f>
        <v>0</v>
      </c>
      <c r="J52" s="607">
        <v>315757</v>
      </c>
      <c r="K52" s="607">
        <v>0</v>
      </c>
      <c r="L52" s="623">
        <f t="shared" si="0"/>
        <v>-510066.2142537529</v>
      </c>
      <c r="M52" s="606">
        <f>'MCC-2r page 1-6'!AC49</f>
        <v>315757</v>
      </c>
      <c r="N52" s="624">
        <f>'MCC-2r page 1-6'!AC51</f>
        <v>0</v>
      </c>
      <c r="O52" s="623">
        <f>(-M52+(N52*$X$14))/ConversionFactor</f>
        <v>-510066.2142537529</v>
      </c>
      <c r="P52" s="622">
        <f>((+M52+M$11)/+(N52+N$11))-P$11</f>
        <v>6.1273912640921746E-5</v>
      </c>
      <c r="Q52" s="615">
        <f>L52-H52</f>
        <v>-510066.2142537529</v>
      </c>
      <c r="R52" s="621">
        <f>+O52-H52</f>
        <v>-510066.2142537529</v>
      </c>
      <c r="Y52" s="555"/>
      <c r="Z52" s="555"/>
      <c r="AA52" s="7">
        <f t="shared" si="1"/>
        <v>0</v>
      </c>
      <c r="AB52" s="7">
        <f t="shared" si="2"/>
        <v>0</v>
      </c>
      <c r="AC52" s="7">
        <f t="shared" si="3"/>
        <v>0</v>
      </c>
    </row>
    <row r="53" spans="1:29" ht="15.75">
      <c r="A53" s="613"/>
      <c r="B53" s="618"/>
      <c r="C53" s="617"/>
      <c r="D53" s="616"/>
      <c r="E53" s="605"/>
      <c r="F53" s="606"/>
      <c r="G53" s="624"/>
      <c r="H53" s="623"/>
      <c r="I53" s="622"/>
      <c r="J53" s="607"/>
      <c r="K53" s="607"/>
      <c r="L53" s="625"/>
      <c r="M53" s="606"/>
      <c r="N53" s="624"/>
      <c r="O53" s="623"/>
      <c r="P53" s="622"/>
      <c r="Q53" s="615"/>
      <c r="R53" s="621"/>
      <c r="Y53" s="555"/>
      <c r="Z53" s="555"/>
      <c r="AA53" s="7">
        <f t="shared" si="1"/>
        <v>0</v>
      </c>
      <c r="AB53" s="7">
        <f t="shared" si="2"/>
        <v>0</v>
      </c>
      <c r="AC53" s="7">
        <f t="shared" si="3"/>
        <v>0</v>
      </c>
    </row>
    <row r="54" spans="1:29" ht="16.5" thickBot="1">
      <c r="A54" s="613"/>
      <c r="B54" s="618"/>
      <c r="C54" s="617" t="s">
        <v>752</v>
      </c>
      <c r="D54" s="616"/>
      <c r="E54" s="605"/>
      <c r="F54" s="606">
        <f>SUM(F13:F53)</f>
        <v>-95600488.430680424</v>
      </c>
      <c r="G54" s="606">
        <f>SUM(G13:G53)</f>
        <v>-55456691.1702509</v>
      </c>
      <c r="H54" s="620">
        <f>SUM(H13:H53)</f>
        <v>147496959.91784689</v>
      </c>
      <c r="I54" s="619">
        <f>SUM(I13:I53)</f>
        <v>-1.7708521473262281E-2</v>
      </c>
      <c r="J54" s="896">
        <v>-58154348.128655247</v>
      </c>
      <c r="K54" s="896">
        <v>-77470417.034308985</v>
      </c>
      <c r="L54" s="897">
        <f>SUM(L13:L53)</f>
        <v>84254993.288436219</v>
      </c>
      <c r="M54" s="891">
        <f>SUM(M13:M53)</f>
        <v>-58864950.894892462</v>
      </c>
      <c r="N54" s="891">
        <f>SUM(N13:N53)</f>
        <v>-77470417.034308985</v>
      </c>
      <c r="O54" s="897">
        <f>SUM(O13:O53)</f>
        <v>85865915.989900529</v>
      </c>
      <c r="P54" s="619">
        <f>SUM(P13:P53)</f>
        <v>-1.0202912512726967E-2</v>
      </c>
      <c r="Q54" s="615">
        <f>L54-H54</f>
        <v>-63241966.629410669</v>
      </c>
      <c r="R54" s="614">
        <f>SUM(R13:R53)</f>
        <v>-61631043.927946366</v>
      </c>
      <c r="Y54" s="555"/>
      <c r="Z54" s="555"/>
      <c r="AA54" s="7">
        <f t="shared" si="1"/>
        <v>710602.76623721421</v>
      </c>
      <c r="AB54" s="7">
        <f t="shared" si="2"/>
        <v>0</v>
      </c>
      <c r="AC54" s="7">
        <f t="shared" si="3"/>
        <v>-1610922.7014643103</v>
      </c>
    </row>
    <row r="55" spans="1:29" ht="19.5" thickBot="1">
      <c r="A55" s="613"/>
      <c r="B55" s="618"/>
      <c r="C55" s="617" t="s">
        <v>751</v>
      </c>
      <c r="D55" s="616"/>
      <c r="E55" s="605"/>
      <c r="F55" s="606">
        <f>+F54+F11</f>
        <v>305402483.26809847</v>
      </c>
      <c r="G55" s="605">
        <f>+G54+G11</f>
        <v>5097747770.4156332</v>
      </c>
      <c r="H55" s="608">
        <f>+H54+H11+1</f>
        <v>144032066.47129652</v>
      </c>
      <c r="I55" s="604">
        <f>+F55/G55</f>
        <v>5.9909296619279025E-2</v>
      </c>
      <c r="J55" s="889">
        <v>342848623.57012361</v>
      </c>
      <c r="K55" s="889">
        <v>5075734044.5515747</v>
      </c>
      <c r="L55" s="945">
        <f>+L54+L11</f>
        <v>80790098.84188585</v>
      </c>
      <c r="M55" s="891">
        <f>+M54+M11</f>
        <v>342138020.80388641</v>
      </c>
      <c r="N55" s="898">
        <f>+N54+N11</f>
        <v>5075734044.5515747</v>
      </c>
      <c r="O55" s="945">
        <f>+O54+O11</f>
        <v>51600883.092935331</v>
      </c>
      <c r="P55" s="604">
        <f>+M55/N55</f>
        <v>6.7406609132948228E-2</v>
      </c>
      <c r="Q55" s="615">
        <f>L55-H55</f>
        <v>-63241967.629410669</v>
      </c>
      <c r="R55" s="614">
        <f>+R54+R11</f>
        <v>-92431182.378361195</v>
      </c>
      <c r="Y55" s="555"/>
      <c r="Z55" s="555"/>
      <c r="AA55" s="7">
        <f t="shared" si="1"/>
        <v>710602.76623719931</v>
      </c>
      <c r="AB55" s="7">
        <f t="shared" si="2"/>
        <v>0</v>
      </c>
      <c r="AC55" s="7">
        <f t="shared" si="3"/>
        <v>29189215.748950519</v>
      </c>
    </row>
    <row r="56" spans="1:29" ht="19.5" thickBot="1">
      <c r="A56" s="613"/>
      <c r="B56" s="612"/>
      <c r="C56" s="611" t="s">
        <v>750</v>
      </c>
      <c r="D56" s="610"/>
      <c r="E56" s="609"/>
      <c r="F56" s="606"/>
      <c r="G56" s="605"/>
      <c r="H56" s="608">
        <f>H55-'EXHIBIT MCC-3r'!D23</f>
        <v>143626923.66205132</v>
      </c>
      <c r="I56" s="604"/>
      <c r="J56" s="607"/>
      <c r="K56" s="607"/>
      <c r="L56" s="945">
        <f>L55-'EXHIBIT MCC-3r'!D23</f>
        <v>80384956.032640651</v>
      </c>
      <c r="M56" s="606"/>
      <c r="N56" s="605"/>
      <c r="O56" s="945">
        <f>O55-'EXHIBIT MCC-3r'!D23</f>
        <v>51195740.283690132</v>
      </c>
      <c r="P56" s="604"/>
      <c r="Q56" s="603"/>
      <c r="R56" s="602"/>
      <c r="Y56" s="555"/>
      <c r="Z56" s="555"/>
      <c r="AA56" s="7"/>
      <c r="AB56" s="7"/>
      <c r="AC56" s="7"/>
    </row>
    <row r="57" spans="1:29" ht="12.75" thickBot="1">
      <c r="B57" s="601"/>
      <c r="C57" s="600" t="s">
        <v>749</v>
      </c>
      <c r="D57" s="599"/>
      <c r="E57" s="598"/>
      <c r="F57" s="597">
        <f>F55</f>
        <v>305402483.26809847</v>
      </c>
      <c r="G57" s="595">
        <f>(F57+H57)/G55</f>
        <v>7.7400000121436177E-2</v>
      </c>
      <c r="H57" s="597">
        <f>H55*ConversionFactor</f>
        <v>89163194.78112258</v>
      </c>
      <c r="I57" s="594"/>
      <c r="J57" s="899">
        <v>342848623.57012361</v>
      </c>
      <c r="K57" s="596">
        <v>7.740000000000001E-2</v>
      </c>
      <c r="L57" s="900">
        <f>L55*ConversionFactor</f>
        <v>50013191.478168279</v>
      </c>
      <c r="M57" s="901">
        <f>M55</f>
        <v>342138020.80388641</v>
      </c>
      <c r="N57" s="595">
        <f>(O57+M57)/N55</f>
        <v>7.3700000000000015E-2</v>
      </c>
      <c r="O57" s="902">
        <f>O55*ConversionFactor</f>
        <v>31943578.279564712</v>
      </c>
      <c r="P57" s="594"/>
      <c r="Q57" s="17"/>
    </row>
    <row r="59" spans="1:29">
      <c r="F59" s="593"/>
      <c r="G59" s="17"/>
      <c r="H59" s="17"/>
      <c r="N59" s="2" t="s">
        <v>748</v>
      </c>
      <c r="O59" s="7">
        <f>H55</f>
        <v>144032066.47129652</v>
      </c>
    </row>
    <row r="60" spans="1:29">
      <c r="F60" s="593"/>
      <c r="G60" s="17"/>
      <c r="H60" s="17"/>
      <c r="N60" s="2" t="s">
        <v>747</v>
      </c>
      <c r="O60" s="903">
        <f>L55-H55</f>
        <v>-63241967.629410669</v>
      </c>
    </row>
    <row r="61" spans="1:29">
      <c r="F61" s="17"/>
      <c r="G61" s="17"/>
      <c r="H61" s="17"/>
      <c r="N61" s="2" t="s">
        <v>746</v>
      </c>
      <c r="O61" s="903">
        <f>O55-L55</f>
        <v>-29189215.748950519</v>
      </c>
    </row>
    <row r="62" spans="1:29" ht="12.75" thickBot="1">
      <c r="N62" s="2" t="s">
        <v>745</v>
      </c>
      <c r="O62" s="904">
        <f>SUM(O59:O61)</f>
        <v>51600883.092935331</v>
      </c>
    </row>
    <row r="63" spans="1:29" ht="12.75" thickTop="1">
      <c r="O63" s="592"/>
    </row>
    <row r="64" spans="1:29">
      <c r="G64" s="551"/>
      <c r="H64" s="551"/>
    </row>
    <row r="65" spans="6:12" ht="15.75" customHeight="1">
      <c r="F65" s="591" t="s">
        <v>744</v>
      </c>
      <c r="G65" s="925" t="s">
        <v>743</v>
      </c>
      <c r="H65" s="925"/>
      <c r="I65" s="925"/>
      <c r="J65" s="925"/>
      <c r="K65" s="925"/>
      <c r="L65" s="926"/>
    </row>
    <row r="66" spans="6:12">
      <c r="F66" s="590"/>
      <c r="G66" s="927"/>
      <c r="H66" s="927"/>
      <c r="I66" s="927"/>
      <c r="J66" s="927"/>
      <c r="K66" s="927"/>
      <c r="L66" s="928"/>
    </row>
    <row r="67" spans="6:12">
      <c r="F67" s="589"/>
      <c r="G67" s="929"/>
      <c r="H67" s="929"/>
      <c r="I67" s="929"/>
      <c r="J67" s="929"/>
      <c r="K67" s="929"/>
      <c r="L67" s="930"/>
    </row>
    <row r="68" spans="6:12">
      <c r="G68" s="588" t="s">
        <v>742</v>
      </c>
      <c r="H68" s="587"/>
      <c r="I68" s="587"/>
      <c r="J68" s="586"/>
      <c r="K68" s="2"/>
      <c r="L68" s="10"/>
    </row>
    <row r="69" spans="6:12" ht="12.75">
      <c r="G69" s="585" t="s">
        <v>741</v>
      </c>
      <c r="H69" s="584">
        <v>0.51500000000000001</v>
      </c>
      <c r="I69" s="583">
        <v>5.8058252427184473E-2</v>
      </c>
      <c r="J69" s="582">
        <f>ROUND(+H69*I69,4)</f>
        <v>2.9899999999999999E-2</v>
      </c>
      <c r="K69" s="2"/>
    </row>
    <row r="70" spans="6:12" ht="12.75">
      <c r="G70" s="585" t="s">
        <v>726</v>
      </c>
      <c r="H70" s="584"/>
      <c r="I70" s="583"/>
      <c r="J70" s="582"/>
      <c r="K70" s="2"/>
    </row>
    <row r="71" spans="6:12" ht="12.75">
      <c r="G71" s="585" t="s">
        <v>721</v>
      </c>
      <c r="H71" s="584">
        <v>0.48499999999999999</v>
      </c>
      <c r="I71" s="583">
        <v>9.8000000000000004E-2</v>
      </c>
      <c r="J71" s="582">
        <f>ROUND(+H71*I71,4)</f>
        <v>4.7500000000000001E-2</v>
      </c>
      <c r="K71" s="2"/>
    </row>
    <row r="72" spans="6:12" ht="12.75">
      <c r="G72" s="581" t="s">
        <v>725</v>
      </c>
      <c r="H72" s="580">
        <v>1</v>
      </c>
      <c r="I72" s="560"/>
      <c r="J72" s="579">
        <f>SUM(J69:J71)</f>
        <v>7.7399999999999997E-2</v>
      </c>
      <c r="K72" s="2"/>
    </row>
    <row r="73" spans="6:12">
      <c r="J73" s="2"/>
      <c r="K73" s="2"/>
    </row>
    <row r="74" spans="6:12">
      <c r="G74" s="551"/>
      <c r="H74" s="551"/>
    </row>
    <row r="75" spans="6:12">
      <c r="G75" s="551"/>
      <c r="H75" s="551"/>
    </row>
    <row r="76" spans="6:12">
      <c r="G76" s="551"/>
    </row>
  </sheetData>
  <mergeCells count="8">
    <mergeCell ref="G65:L67"/>
    <mergeCell ref="C1:N1"/>
    <mergeCell ref="C2:N2"/>
    <mergeCell ref="C3:N3"/>
    <mergeCell ref="D7:E7"/>
    <mergeCell ref="F7:G7"/>
    <mergeCell ref="M7:N7"/>
    <mergeCell ref="J7:K7"/>
  </mergeCells>
  <pageMargins left="1" right="0.46" top="1" bottom="0.57999999999999996" header="0.24" footer="0.31"/>
  <pageSetup scale="40" orientation="landscape" r:id="rId1"/>
  <headerFooter alignWithMargins="0">
    <oddFooter>&amp;CREVISED AUGUST 08,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P47"/>
  <sheetViews>
    <sheetView view="pageBreakPreview" zoomScale="60" zoomScaleNormal="77" workbookViewId="0">
      <selection activeCell="BB2" sqref="BB2"/>
    </sheetView>
  </sheetViews>
  <sheetFormatPr defaultRowHeight="11.25"/>
  <cols>
    <col min="1" max="1" width="7.5" style="2" bestFit="1" customWidth="1"/>
    <col min="2" max="2" width="71.6640625" style="2" customWidth="1"/>
    <col min="3" max="3" width="27.6640625" style="2" customWidth="1"/>
    <col min="4" max="4" width="22.83203125" style="10" customWidth="1"/>
    <col min="5" max="5" width="31" style="2" customWidth="1"/>
    <col min="6" max="6" width="18.1640625" style="2" customWidth="1"/>
    <col min="7" max="9" width="9.33203125" style="2"/>
    <col min="10" max="10" width="31.1640625" style="2" customWidth="1"/>
    <col min="11" max="12" width="9.33203125" style="2"/>
    <col min="13" max="13" width="14.5" style="2" customWidth="1"/>
    <col min="14" max="256" width="9.33203125" style="2"/>
    <col min="257" max="257" width="7.5" style="2" bestFit="1" customWidth="1"/>
    <col min="258" max="258" width="71.6640625" style="2" customWidth="1"/>
    <col min="259" max="259" width="27.6640625" style="2" customWidth="1"/>
    <col min="260" max="260" width="22.83203125" style="2" customWidth="1"/>
    <col min="261" max="261" width="31" style="2" customWidth="1"/>
    <col min="262" max="262" width="18.1640625" style="2" customWidth="1"/>
    <col min="263" max="512" width="9.33203125" style="2"/>
    <col min="513" max="513" width="7.5" style="2" bestFit="1" customWidth="1"/>
    <col min="514" max="514" width="71.6640625" style="2" customWidth="1"/>
    <col min="515" max="515" width="27.6640625" style="2" customWidth="1"/>
    <col min="516" max="516" width="22.83203125" style="2" customWidth="1"/>
    <col min="517" max="517" width="31" style="2" customWidth="1"/>
    <col min="518" max="518" width="18.1640625" style="2" customWidth="1"/>
    <col min="519" max="768" width="9.33203125" style="2"/>
    <col min="769" max="769" width="7.5" style="2" bestFit="1" customWidth="1"/>
    <col min="770" max="770" width="71.6640625" style="2" customWidth="1"/>
    <col min="771" max="771" width="27.6640625" style="2" customWidth="1"/>
    <col min="772" max="772" width="22.83203125" style="2" customWidth="1"/>
    <col min="773" max="773" width="31" style="2" customWidth="1"/>
    <col min="774" max="774" width="18.1640625" style="2" customWidth="1"/>
    <col min="775" max="1024" width="9.33203125" style="2"/>
    <col min="1025" max="1025" width="7.5" style="2" bestFit="1" customWidth="1"/>
    <col min="1026" max="1026" width="71.6640625" style="2" customWidth="1"/>
    <col min="1027" max="1027" width="27.6640625" style="2" customWidth="1"/>
    <col min="1028" max="1028" width="22.83203125" style="2" customWidth="1"/>
    <col min="1029" max="1029" width="31" style="2" customWidth="1"/>
    <col min="1030" max="1030" width="18.1640625" style="2" customWidth="1"/>
    <col min="1031" max="1280" width="9.33203125" style="2"/>
    <col min="1281" max="1281" width="7.5" style="2" bestFit="1" customWidth="1"/>
    <col min="1282" max="1282" width="71.6640625" style="2" customWidth="1"/>
    <col min="1283" max="1283" width="27.6640625" style="2" customWidth="1"/>
    <col min="1284" max="1284" width="22.83203125" style="2" customWidth="1"/>
    <col min="1285" max="1285" width="31" style="2" customWidth="1"/>
    <col min="1286" max="1286" width="18.1640625" style="2" customWidth="1"/>
    <col min="1287" max="1536" width="9.33203125" style="2"/>
    <col min="1537" max="1537" width="7.5" style="2" bestFit="1" customWidth="1"/>
    <col min="1538" max="1538" width="71.6640625" style="2" customWidth="1"/>
    <col min="1539" max="1539" width="27.6640625" style="2" customWidth="1"/>
    <col min="1540" max="1540" width="22.83203125" style="2" customWidth="1"/>
    <col min="1541" max="1541" width="31" style="2" customWidth="1"/>
    <col min="1542" max="1542" width="18.1640625" style="2" customWidth="1"/>
    <col min="1543" max="1792" width="9.33203125" style="2"/>
    <col min="1793" max="1793" width="7.5" style="2" bestFit="1" customWidth="1"/>
    <col min="1794" max="1794" width="71.6640625" style="2" customWidth="1"/>
    <col min="1795" max="1795" width="27.6640625" style="2" customWidth="1"/>
    <col min="1796" max="1796" width="22.83203125" style="2" customWidth="1"/>
    <col min="1797" max="1797" width="31" style="2" customWidth="1"/>
    <col min="1798" max="1798" width="18.1640625" style="2" customWidth="1"/>
    <col min="1799" max="2048" width="9.33203125" style="2"/>
    <col min="2049" max="2049" width="7.5" style="2" bestFit="1" customWidth="1"/>
    <col min="2050" max="2050" width="71.6640625" style="2" customWidth="1"/>
    <col min="2051" max="2051" width="27.6640625" style="2" customWidth="1"/>
    <col min="2052" max="2052" width="22.83203125" style="2" customWidth="1"/>
    <col min="2053" max="2053" width="31" style="2" customWidth="1"/>
    <col min="2054" max="2054" width="18.1640625" style="2" customWidth="1"/>
    <col min="2055" max="2304" width="9.33203125" style="2"/>
    <col min="2305" max="2305" width="7.5" style="2" bestFit="1" customWidth="1"/>
    <col min="2306" max="2306" width="71.6640625" style="2" customWidth="1"/>
    <col min="2307" max="2307" width="27.6640625" style="2" customWidth="1"/>
    <col min="2308" max="2308" width="22.83203125" style="2" customWidth="1"/>
    <col min="2309" max="2309" width="31" style="2" customWidth="1"/>
    <col min="2310" max="2310" width="18.1640625" style="2" customWidth="1"/>
    <col min="2311" max="2560" width="9.33203125" style="2"/>
    <col min="2561" max="2561" width="7.5" style="2" bestFit="1" customWidth="1"/>
    <col min="2562" max="2562" width="71.6640625" style="2" customWidth="1"/>
    <col min="2563" max="2563" width="27.6640625" style="2" customWidth="1"/>
    <col min="2564" max="2564" width="22.83203125" style="2" customWidth="1"/>
    <col min="2565" max="2565" width="31" style="2" customWidth="1"/>
    <col min="2566" max="2566" width="18.1640625" style="2" customWidth="1"/>
    <col min="2567" max="2816" width="9.33203125" style="2"/>
    <col min="2817" max="2817" width="7.5" style="2" bestFit="1" customWidth="1"/>
    <col min="2818" max="2818" width="71.6640625" style="2" customWidth="1"/>
    <col min="2819" max="2819" width="27.6640625" style="2" customWidth="1"/>
    <col min="2820" max="2820" width="22.83203125" style="2" customWidth="1"/>
    <col min="2821" max="2821" width="31" style="2" customWidth="1"/>
    <col min="2822" max="2822" width="18.1640625" style="2" customWidth="1"/>
    <col min="2823" max="3072" width="9.33203125" style="2"/>
    <col min="3073" max="3073" width="7.5" style="2" bestFit="1" customWidth="1"/>
    <col min="3074" max="3074" width="71.6640625" style="2" customWidth="1"/>
    <col min="3075" max="3075" width="27.6640625" style="2" customWidth="1"/>
    <col min="3076" max="3076" width="22.83203125" style="2" customWidth="1"/>
    <col min="3077" max="3077" width="31" style="2" customWidth="1"/>
    <col min="3078" max="3078" width="18.1640625" style="2" customWidth="1"/>
    <col min="3079" max="3328" width="9.33203125" style="2"/>
    <col min="3329" max="3329" width="7.5" style="2" bestFit="1" customWidth="1"/>
    <col min="3330" max="3330" width="71.6640625" style="2" customWidth="1"/>
    <col min="3331" max="3331" width="27.6640625" style="2" customWidth="1"/>
    <col min="3332" max="3332" width="22.83203125" style="2" customWidth="1"/>
    <col min="3333" max="3333" width="31" style="2" customWidth="1"/>
    <col min="3334" max="3334" width="18.1640625" style="2" customWidth="1"/>
    <col min="3335" max="3584" width="9.33203125" style="2"/>
    <col min="3585" max="3585" width="7.5" style="2" bestFit="1" customWidth="1"/>
    <col min="3586" max="3586" width="71.6640625" style="2" customWidth="1"/>
    <col min="3587" max="3587" width="27.6640625" style="2" customWidth="1"/>
    <col min="3588" max="3588" width="22.83203125" style="2" customWidth="1"/>
    <col min="3589" max="3589" width="31" style="2" customWidth="1"/>
    <col min="3590" max="3590" width="18.1640625" style="2" customWidth="1"/>
    <col min="3591" max="3840" width="9.33203125" style="2"/>
    <col min="3841" max="3841" width="7.5" style="2" bestFit="1" customWidth="1"/>
    <col min="3842" max="3842" width="71.6640625" style="2" customWidth="1"/>
    <col min="3843" max="3843" width="27.6640625" style="2" customWidth="1"/>
    <col min="3844" max="3844" width="22.83203125" style="2" customWidth="1"/>
    <col min="3845" max="3845" width="31" style="2" customWidth="1"/>
    <col min="3846" max="3846" width="18.1640625" style="2" customWidth="1"/>
    <col min="3847" max="4096" width="9.33203125" style="2"/>
    <col min="4097" max="4097" width="7.5" style="2" bestFit="1" customWidth="1"/>
    <col min="4098" max="4098" width="71.6640625" style="2" customWidth="1"/>
    <col min="4099" max="4099" width="27.6640625" style="2" customWidth="1"/>
    <col min="4100" max="4100" width="22.83203125" style="2" customWidth="1"/>
    <col min="4101" max="4101" width="31" style="2" customWidth="1"/>
    <col min="4102" max="4102" width="18.1640625" style="2" customWidth="1"/>
    <col min="4103" max="4352" width="9.33203125" style="2"/>
    <col min="4353" max="4353" width="7.5" style="2" bestFit="1" customWidth="1"/>
    <col min="4354" max="4354" width="71.6640625" style="2" customWidth="1"/>
    <col min="4355" max="4355" width="27.6640625" style="2" customWidth="1"/>
    <col min="4356" max="4356" width="22.83203125" style="2" customWidth="1"/>
    <col min="4357" max="4357" width="31" style="2" customWidth="1"/>
    <col min="4358" max="4358" width="18.1640625" style="2" customWidth="1"/>
    <col min="4359" max="4608" width="9.33203125" style="2"/>
    <col min="4609" max="4609" width="7.5" style="2" bestFit="1" customWidth="1"/>
    <col min="4610" max="4610" width="71.6640625" style="2" customWidth="1"/>
    <col min="4611" max="4611" width="27.6640625" style="2" customWidth="1"/>
    <col min="4612" max="4612" width="22.83203125" style="2" customWidth="1"/>
    <col min="4613" max="4613" width="31" style="2" customWidth="1"/>
    <col min="4614" max="4614" width="18.1640625" style="2" customWidth="1"/>
    <col min="4615" max="4864" width="9.33203125" style="2"/>
    <col min="4865" max="4865" width="7.5" style="2" bestFit="1" customWidth="1"/>
    <col min="4866" max="4866" width="71.6640625" style="2" customWidth="1"/>
    <col min="4867" max="4867" width="27.6640625" style="2" customWidth="1"/>
    <col min="4868" max="4868" width="22.83203125" style="2" customWidth="1"/>
    <col min="4869" max="4869" width="31" style="2" customWidth="1"/>
    <col min="4870" max="4870" width="18.1640625" style="2" customWidth="1"/>
    <col min="4871" max="5120" width="9.33203125" style="2"/>
    <col min="5121" max="5121" width="7.5" style="2" bestFit="1" customWidth="1"/>
    <col min="5122" max="5122" width="71.6640625" style="2" customWidth="1"/>
    <col min="5123" max="5123" width="27.6640625" style="2" customWidth="1"/>
    <col min="5124" max="5124" width="22.83203125" style="2" customWidth="1"/>
    <col min="5125" max="5125" width="31" style="2" customWidth="1"/>
    <col min="5126" max="5126" width="18.1640625" style="2" customWidth="1"/>
    <col min="5127" max="5376" width="9.33203125" style="2"/>
    <col min="5377" max="5377" width="7.5" style="2" bestFit="1" customWidth="1"/>
    <col min="5378" max="5378" width="71.6640625" style="2" customWidth="1"/>
    <col min="5379" max="5379" width="27.6640625" style="2" customWidth="1"/>
    <col min="5380" max="5380" width="22.83203125" style="2" customWidth="1"/>
    <col min="5381" max="5381" width="31" style="2" customWidth="1"/>
    <col min="5382" max="5382" width="18.1640625" style="2" customWidth="1"/>
    <col min="5383" max="5632" width="9.33203125" style="2"/>
    <col min="5633" max="5633" width="7.5" style="2" bestFit="1" customWidth="1"/>
    <col min="5634" max="5634" width="71.6640625" style="2" customWidth="1"/>
    <col min="5635" max="5635" width="27.6640625" style="2" customWidth="1"/>
    <col min="5636" max="5636" width="22.83203125" style="2" customWidth="1"/>
    <col min="5637" max="5637" width="31" style="2" customWidth="1"/>
    <col min="5638" max="5638" width="18.1640625" style="2" customWidth="1"/>
    <col min="5639" max="5888" width="9.33203125" style="2"/>
    <col min="5889" max="5889" width="7.5" style="2" bestFit="1" customWidth="1"/>
    <col min="5890" max="5890" width="71.6640625" style="2" customWidth="1"/>
    <col min="5891" max="5891" width="27.6640625" style="2" customWidth="1"/>
    <col min="5892" max="5892" width="22.83203125" style="2" customWidth="1"/>
    <col min="5893" max="5893" width="31" style="2" customWidth="1"/>
    <col min="5894" max="5894" width="18.1640625" style="2" customWidth="1"/>
    <col min="5895" max="6144" width="9.33203125" style="2"/>
    <col min="6145" max="6145" width="7.5" style="2" bestFit="1" customWidth="1"/>
    <col min="6146" max="6146" width="71.6640625" style="2" customWidth="1"/>
    <col min="6147" max="6147" width="27.6640625" style="2" customWidth="1"/>
    <col min="6148" max="6148" width="22.83203125" style="2" customWidth="1"/>
    <col min="6149" max="6149" width="31" style="2" customWidth="1"/>
    <col min="6150" max="6150" width="18.1640625" style="2" customWidth="1"/>
    <col min="6151" max="6400" width="9.33203125" style="2"/>
    <col min="6401" max="6401" width="7.5" style="2" bestFit="1" customWidth="1"/>
    <col min="6402" max="6402" width="71.6640625" style="2" customWidth="1"/>
    <col min="6403" max="6403" width="27.6640625" style="2" customWidth="1"/>
    <col min="6404" max="6404" width="22.83203125" style="2" customWidth="1"/>
    <col min="6405" max="6405" width="31" style="2" customWidth="1"/>
    <col min="6406" max="6406" width="18.1640625" style="2" customWidth="1"/>
    <col min="6407" max="6656" width="9.33203125" style="2"/>
    <col min="6657" max="6657" width="7.5" style="2" bestFit="1" customWidth="1"/>
    <col min="6658" max="6658" width="71.6640625" style="2" customWidth="1"/>
    <col min="6659" max="6659" width="27.6640625" style="2" customWidth="1"/>
    <col min="6660" max="6660" width="22.83203125" style="2" customWidth="1"/>
    <col min="6661" max="6661" width="31" style="2" customWidth="1"/>
    <col min="6662" max="6662" width="18.1640625" style="2" customWidth="1"/>
    <col min="6663" max="6912" width="9.33203125" style="2"/>
    <col min="6913" max="6913" width="7.5" style="2" bestFit="1" customWidth="1"/>
    <col min="6914" max="6914" width="71.6640625" style="2" customWidth="1"/>
    <col min="6915" max="6915" width="27.6640625" style="2" customWidth="1"/>
    <col min="6916" max="6916" width="22.83203125" style="2" customWidth="1"/>
    <col min="6917" max="6917" width="31" style="2" customWidth="1"/>
    <col min="6918" max="6918" width="18.1640625" style="2" customWidth="1"/>
    <col min="6919" max="7168" width="9.33203125" style="2"/>
    <col min="7169" max="7169" width="7.5" style="2" bestFit="1" customWidth="1"/>
    <col min="7170" max="7170" width="71.6640625" style="2" customWidth="1"/>
    <col min="7171" max="7171" width="27.6640625" style="2" customWidth="1"/>
    <col min="7172" max="7172" width="22.83203125" style="2" customWidth="1"/>
    <col min="7173" max="7173" width="31" style="2" customWidth="1"/>
    <col min="7174" max="7174" width="18.1640625" style="2" customWidth="1"/>
    <col min="7175" max="7424" width="9.33203125" style="2"/>
    <col min="7425" max="7425" width="7.5" style="2" bestFit="1" customWidth="1"/>
    <col min="7426" max="7426" width="71.6640625" style="2" customWidth="1"/>
    <col min="7427" max="7427" width="27.6640625" style="2" customWidth="1"/>
    <col min="7428" max="7428" width="22.83203125" style="2" customWidth="1"/>
    <col min="7429" max="7429" width="31" style="2" customWidth="1"/>
    <col min="7430" max="7430" width="18.1640625" style="2" customWidth="1"/>
    <col min="7431" max="7680" width="9.33203125" style="2"/>
    <col min="7681" max="7681" width="7.5" style="2" bestFit="1" customWidth="1"/>
    <col min="7682" max="7682" width="71.6640625" style="2" customWidth="1"/>
    <col min="7683" max="7683" width="27.6640625" style="2" customWidth="1"/>
    <col min="7684" max="7684" width="22.83203125" style="2" customWidth="1"/>
    <col min="7685" max="7685" width="31" style="2" customWidth="1"/>
    <col min="7686" max="7686" width="18.1640625" style="2" customWidth="1"/>
    <col min="7687" max="7936" width="9.33203125" style="2"/>
    <col min="7937" max="7937" width="7.5" style="2" bestFit="1" customWidth="1"/>
    <col min="7938" max="7938" width="71.6640625" style="2" customWidth="1"/>
    <col min="7939" max="7939" width="27.6640625" style="2" customWidth="1"/>
    <col min="7940" max="7940" width="22.83203125" style="2" customWidth="1"/>
    <col min="7941" max="7941" width="31" style="2" customWidth="1"/>
    <col min="7942" max="7942" width="18.1640625" style="2" customWidth="1"/>
    <col min="7943" max="8192" width="9.33203125" style="2"/>
    <col min="8193" max="8193" width="7.5" style="2" bestFit="1" customWidth="1"/>
    <col min="8194" max="8194" width="71.6640625" style="2" customWidth="1"/>
    <col min="8195" max="8195" width="27.6640625" style="2" customWidth="1"/>
    <col min="8196" max="8196" width="22.83203125" style="2" customWidth="1"/>
    <col min="8197" max="8197" width="31" style="2" customWidth="1"/>
    <col min="8198" max="8198" width="18.1640625" style="2" customWidth="1"/>
    <col min="8199" max="8448" width="9.33203125" style="2"/>
    <col min="8449" max="8449" width="7.5" style="2" bestFit="1" customWidth="1"/>
    <col min="8450" max="8450" width="71.6640625" style="2" customWidth="1"/>
    <col min="8451" max="8451" width="27.6640625" style="2" customWidth="1"/>
    <col min="8452" max="8452" width="22.83203125" style="2" customWidth="1"/>
    <col min="8453" max="8453" width="31" style="2" customWidth="1"/>
    <col min="8454" max="8454" width="18.1640625" style="2" customWidth="1"/>
    <col min="8455" max="8704" width="9.33203125" style="2"/>
    <col min="8705" max="8705" width="7.5" style="2" bestFit="1" customWidth="1"/>
    <col min="8706" max="8706" width="71.6640625" style="2" customWidth="1"/>
    <col min="8707" max="8707" width="27.6640625" style="2" customWidth="1"/>
    <col min="8708" max="8708" width="22.83203125" style="2" customWidth="1"/>
    <col min="8709" max="8709" width="31" style="2" customWidth="1"/>
    <col min="8710" max="8710" width="18.1640625" style="2" customWidth="1"/>
    <col min="8711" max="8960" width="9.33203125" style="2"/>
    <col min="8961" max="8961" width="7.5" style="2" bestFit="1" customWidth="1"/>
    <col min="8962" max="8962" width="71.6640625" style="2" customWidth="1"/>
    <col min="8963" max="8963" width="27.6640625" style="2" customWidth="1"/>
    <col min="8964" max="8964" width="22.83203125" style="2" customWidth="1"/>
    <col min="8965" max="8965" width="31" style="2" customWidth="1"/>
    <col min="8966" max="8966" width="18.1640625" style="2" customWidth="1"/>
    <col min="8967" max="9216" width="9.33203125" style="2"/>
    <col min="9217" max="9217" width="7.5" style="2" bestFit="1" customWidth="1"/>
    <col min="9218" max="9218" width="71.6640625" style="2" customWidth="1"/>
    <col min="9219" max="9219" width="27.6640625" style="2" customWidth="1"/>
    <col min="9220" max="9220" width="22.83203125" style="2" customWidth="1"/>
    <col min="9221" max="9221" width="31" style="2" customWidth="1"/>
    <col min="9222" max="9222" width="18.1640625" style="2" customWidth="1"/>
    <col min="9223" max="9472" width="9.33203125" style="2"/>
    <col min="9473" max="9473" width="7.5" style="2" bestFit="1" customWidth="1"/>
    <col min="9474" max="9474" width="71.6640625" style="2" customWidth="1"/>
    <col min="9475" max="9475" width="27.6640625" style="2" customWidth="1"/>
    <col min="9476" max="9476" width="22.83203125" style="2" customWidth="1"/>
    <col min="9477" max="9477" width="31" style="2" customWidth="1"/>
    <col min="9478" max="9478" width="18.1640625" style="2" customWidth="1"/>
    <col min="9479" max="9728" width="9.33203125" style="2"/>
    <col min="9729" max="9729" width="7.5" style="2" bestFit="1" customWidth="1"/>
    <col min="9730" max="9730" width="71.6640625" style="2" customWidth="1"/>
    <col min="9731" max="9731" width="27.6640625" style="2" customWidth="1"/>
    <col min="9732" max="9732" width="22.83203125" style="2" customWidth="1"/>
    <col min="9733" max="9733" width="31" style="2" customWidth="1"/>
    <col min="9734" max="9734" width="18.1640625" style="2" customWidth="1"/>
    <col min="9735" max="9984" width="9.33203125" style="2"/>
    <col min="9985" max="9985" width="7.5" style="2" bestFit="1" customWidth="1"/>
    <col min="9986" max="9986" width="71.6640625" style="2" customWidth="1"/>
    <col min="9987" max="9987" width="27.6640625" style="2" customWidth="1"/>
    <col min="9988" max="9988" width="22.83203125" style="2" customWidth="1"/>
    <col min="9989" max="9989" width="31" style="2" customWidth="1"/>
    <col min="9990" max="9990" width="18.1640625" style="2" customWidth="1"/>
    <col min="9991" max="10240" width="9.33203125" style="2"/>
    <col min="10241" max="10241" width="7.5" style="2" bestFit="1" customWidth="1"/>
    <col min="10242" max="10242" width="71.6640625" style="2" customWidth="1"/>
    <col min="10243" max="10243" width="27.6640625" style="2" customWidth="1"/>
    <col min="10244" max="10244" width="22.83203125" style="2" customWidth="1"/>
    <col min="10245" max="10245" width="31" style="2" customWidth="1"/>
    <col min="10246" max="10246" width="18.1640625" style="2" customWidth="1"/>
    <col min="10247" max="10496" width="9.33203125" style="2"/>
    <col min="10497" max="10497" width="7.5" style="2" bestFit="1" customWidth="1"/>
    <col min="10498" max="10498" width="71.6640625" style="2" customWidth="1"/>
    <col min="10499" max="10499" width="27.6640625" style="2" customWidth="1"/>
    <col min="10500" max="10500" width="22.83203125" style="2" customWidth="1"/>
    <col min="10501" max="10501" width="31" style="2" customWidth="1"/>
    <col min="10502" max="10502" width="18.1640625" style="2" customWidth="1"/>
    <col min="10503" max="10752" width="9.33203125" style="2"/>
    <col min="10753" max="10753" width="7.5" style="2" bestFit="1" customWidth="1"/>
    <col min="10754" max="10754" width="71.6640625" style="2" customWidth="1"/>
    <col min="10755" max="10755" width="27.6640625" style="2" customWidth="1"/>
    <col min="10756" max="10756" width="22.83203125" style="2" customWidth="1"/>
    <col min="10757" max="10757" width="31" style="2" customWidth="1"/>
    <col min="10758" max="10758" width="18.1640625" style="2" customWidth="1"/>
    <col min="10759" max="11008" width="9.33203125" style="2"/>
    <col min="11009" max="11009" width="7.5" style="2" bestFit="1" customWidth="1"/>
    <col min="11010" max="11010" width="71.6640625" style="2" customWidth="1"/>
    <col min="11011" max="11011" width="27.6640625" style="2" customWidth="1"/>
    <col min="11012" max="11012" width="22.83203125" style="2" customWidth="1"/>
    <col min="11013" max="11013" width="31" style="2" customWidth="1"/>
    <col min="11014" max="11014" width="18.1640625" style="2" customWidth="1"/>
    <col min="11015" max="11264" width="9.33203125" style="2"/>
    <col min="11265" max="11265" width="7.5" style="2" bestFit="1" customWidth="1"/>
    <col min="11266" max="11266" width="71.6640625" style="2" customWidth="1"/>
    <col min="11267" max="11267" width="27.6640625" style="2" customWidth="1"/>
    <col min="11268" max="11268" width="22.83203125" style="2" customWidth="1"/>
    <col min="11269" max="11269" width="31" style="2" customWidth="1"/>
    <col min="11270" max="11270" width="18.1640625" style="2" customWidth="1"/>
    <col min="11271" max="11520" width="9.33203125" style="2"/>
    <col min="11521" max="11521" width="7.5" style="2" bestFit="1" customWidth="1"/>
    <col min="11522" max="11522" width="71.6640625" style="2" customWidth="1"/>
    <col min="11523" max="11523" width="27.6640625" style="2" customWidth="1"/>
    <col min="11524" max="11524" width="22.83203125" style="2" customWidth="1"/>
    <col min="11525" max="11525" width="31" style="2" customWidth="1"/>
    <col min="11526" max="11526" width="18.1640625" style="2" customWidth="1"/>
    <col min="11527" max="11776" width="9.33203125" style="2"/>
    <col min="11777" max="11777" width="7.5" style="2" bestFit="1" customWidth="1"/>
    <col min="11778" max="11778" width="71.6640625" style="2" customWidth="1"/>
    <col min="11779" max="11779" width="27.6640625" style="2" customWidth="1"/>
    <col min="11780" max="11780" width="22.83203125" style="2" customWidth="1"/>
    <col min="11781" max="11781" width="31" style="2" customWidth="1"/>
    <col min="11782" max="11782" width="18.1640625" style="2" customWidth="1"/>
    <col min="11783" max="12032" width="9.33203125" style="2"/>
    <col min="12033" max="12033" width="7.5" style="2" bestFit="1" customWidth="1"/>
    <col min="12034" max="12034" width="71.6640625" style="2" customWidth="1"/>
    <col min="12035" max="12035" width="27.6640625" style="2" customWidth="1"/>
    <col min="12036" max="12036" width="22.83203125" style="2" customWidth="1"/>
    <col min="12037" max="12037" width="31" style="2" customWidth="1"/>
    <col min="12038" max="12038" width="18.1640625" style="2" customWidth="1"/>
    <col min="12039" max="12288" width="9.33203125" style="2"/>
    <col min="12289" max="12289" width="7.5" style="2" bestFit="1" customWidth="1"/>
    <col min="12290" max="12290" width="71.6640625" style="2" customWidth="1"/>
    <col min="12291" max="12291" width="27.6640625" style="2" customWidth="1"/>
    <col min="12292" max="12292" width="22.83203125" style="2" customWidth="1"/>
    <col min="12293" max="12293" width="31" style="2" customWidth="1"/>
    <col min="12294" max="12294" width="18.1640625" style="2" customWidth="1"/>
    <col min="12295" max="12544" width="9.33203125" style="2"/>
    <col min="12545" max="12545" width="7.5" style="2" bestFit="1" customWidth="1"/>
    <col min="12546" max="12546" width="71.6640625" style="2" customWidth="1"/>
    <col min="12547" max="12547" width="27.6640625" style="2" customWidth="1"/>
    <col min="12548" max="12548" width="22.83203125" style="2" customWidth="1"/>
    <col min="12549" max="12549" width="31" style="2" customWidth="1"/>
    <col min="12550" max="12550" width="18.1640625" style="2" customWidth="1"/>
    <col min="12551" max="12800" width="9.33203125" style="2"/>
    <col min="12801" max="12801" width="7.5" style="2" bestFit="1" customWidth="1"/>
    <col min="12802" max="12802" width="71.6640625" style="2" customWidth="1"/>
    <col min="12803" max="12803" width="27.6640625" style="2" customWidth="1"/>
    <col min="12804" max="12804" width="22.83203125" style="2" customWidth="1"/>
    <col min="12805" max="12805" width="31" style="2" customWidth="1"/>
    <col min="12806" max="12806" width="18.1640625" style="2" customWidth="1"/>
    <col min="12807" max="13056" width="9.33203125" style="2"/>
    <col min="13057" max="13057" width="7.5" style="2" bestFit="1" customWidth="1"/>
    <col min="13058" max="13058" width="71.6640625" style="2" customWidth="1"/>
    <col min="13059" max="13059" width="27.6640625" style="2" customWidth="1"/>
    <col min="13060" max="13060" width="22.83203125" style="2" customWidth="1"/>
    <col min="13061" max="13061" width="31" style="2" customWidth="1"/>
    <col min="13062" max="13062" width="18.1640625" style="2" customWidth="1"/>
    <col min="13063" max="13312" width="9.33203125" style="2"/>
    <col min="13313" max="13313" width="7.5" style="2" bestFit="1" customWidth="1"/>
    <col min="13314" max="13314" width="71.6640625" style="2" customWidth="1"/>
    <col min="13315" max="13315" width="27.6640625" style="2" customWidth="1"/>
    <col min="13316" max="13316" width="22.83203125" style="2" customWidth="1"/>
    <col min="13317" max="13317" width="31" style="2" customWidth="1"/>
    <col min="13318" max="13318" width="18.1640625" style="2" customWidth="1"/>
    <col min="13319" max="13568" width="9.33203125" style="2"/>
    <col min="13569" max="13569" width="7.5" style="2" bestFit="1" customWidth="1"/>
    <col min="13570" max="13570" width="71.6640625" style="2" customWidth="1"/>
    <col min="13571" max="13571" width="27.6640625" style="2" customWidth="1"/>
    <col min="13572" max="13572" width="22.83203125" style="2" customWidth="1"/>
    <col min="13573" max="13573" width="31" style="2" customWidth="1"/>
    <col min="13574" max="13574" width="18.1640625" style="2" customWidth="1"/>
    <col min="13575" max="13824" width="9.33203125" style="2"/>
    <col min="13825" max="13825" width="7.5" style="2" bestFit="1" customWidth="1"/>
    <col min="13826" max="13826" width="71.6640625" style="2" customWidth="1"/>
    <col min="13827" max="13827" width="27.6640625" style="2" customWidth="1"/>
    <col min="13828" max="13828" width="22.83203125" style="2" customWidth="1"/>
    <col min="13829" max="13829" width="31" style="2" customWidth="1"/>
    <col min="13830" max="13830" width="18.1640625" style="2" customWidth="1"/>
    <col min="13831" max="14080" width="9.33203125" style="2"/>
    <col min="14081" max="14081" width="7.5" style="2" bestFit="1" customWidth="1"/>
    <col min="14082" max="14082" width="71.6640625" style="2" customWidth="1"/>
    <col min="14083" max="14083" width="27.6640625" style="2" customWidth="1"/>
    <col min="14084" max="14084" width="22.83203125" style="2" customWidth="1"/>
    <col min="14085" max="14085" width="31" style="2" customWidth="1"/>
    <col min="14086" max="14086" width="18.1640625" style="2" customWidth="1"/>
    <col min="14087" max="14336" width="9.33203125" style="2"/>
    <col min="14337" max="14337" width="7.5" style="2" bestFit="1" customWidth="1"/>
    <col min="14338" max="14338" width="71.6640625" style="2" customWidth="1"/>
    <col min="14339" max="14339" width="27.6640625" style="2" customWidth="1"/>
    <col min="14340" max="14340" width="22.83203125" style="2" customWidth="1"/>
    <col min="14341" max="14341" width="31" style="2" customWidth="1"/>
    <col min="14342" max="14342" width="18.1640625" style="2" customWidth="1"/>
    <col min="14343" max="14592" width="9.33203125" style="2"/>
    <col min="14593" max="14593" width="7.5" style="2" bestFit="1" customWidth="1"/>
    <col min="14594" max="14594" width="71.6640625" style="2" customWidth="1"/>
    <col min="14595" max="14595" width="27.6640625" style="2" customWidth="1"/>
    <col min="14596" max="14596" width="22.83203125" style="2" customWidth="1"/>
    <col min="14597" max="14597" width="31" style="2" customWidth="1"/>
    <col min="14598" max="14598" width="18.1640625" style="2" customWidth="1"/>
    <col min="14599" max="14848" width="9.33203125" style="2"/>
    <col min="14849" max="14849" width="7.5" style="2" bestFit="1" customWidth="1"/>
    <col min="14850" max="14850" width="71.6640625" style="2" customWidth="1"/>
    <col min="14851" max="14851" width="27.6640625" style="2" customWidth="1"/>
    <col min="14852" max="14852" width="22.83203125" style="2" customWidth="1"/>
    <col min="14853" max="14853" width="31" style="2" customWidth="1"/>
    <col min="14854" max="14854" width="18.1640625" style="2" customWidth="1"/>
    <col min="14855" max="15104" width="9.33203125" style="2"/>
    <col min="15105" max="15105" width="7.5" style="2" bestFit="1" customWidth="1"/>
    <col min="15106" max="15106" width="71.6640625" style="2" customWidth="1"/>
    <col min="15107" max="15107" width="27.6640625" style="2" customWidth="1"/>
    <col min="15108" max="15108" width="22.83203125" style="2" customWidth="1"/>
    <col min="15109" max="15109" width="31" style="2" customWidth="1"/>
    <col min="15110" max="15110" width="18.1640625" style="2" customWidth="1"/>
    <col min="15111" max="15360" width="9.33203125" style="2"/>
    <col min="15361" max="15361" width="7.5" style="2" bestFit="1" customWidth="1"/>
    <col min="15362" max="15362" width="71.6640625" style="2" customWidth="1"/>
    <col min="15363" max="15363" width="27.6640625" style="2" customWidth="1"/>
    <col min="15364" max="15364" width="22.83203125" style="2" customWidth="1"/>
    <col min="15365" max="15365" width="31" style="2" customWidth="1"/>
    <col min="15366" max="15366" width="18.1640625" style="2" customWidth="1"/>
    <col min="15367" max="15616" width="9.33203125" style="2"/>
    <col min="15617" max="15617" width="7.5" style="2" bestFit="1" customWidth="1"/>
    <col min="15618" max="15618" width="71.6640625" style="2" customWidth="1"/>
    <col min="15619" max="15619" width="27.6640625" style="2" customWidth="1"/>
    <col min="15620" max="15620" width="22.83203125" style="2" customWidth="1"/>
    <col min="15621" max="15621" width="31" style="2" customWidth="1"/>
    <col min="15622" max="15622" width="18.1640625" style="2" customWidth="1"/>
    <col min="15623" max="15872" width="9.33203125" style="2"/>
    <col min="15873" max="15873" width="7.5" style="2" bestFit="1" customWidth="1"/>
    <col min="15874" max="15874" width="71.6640625" style="2" customWidth="1"/>
    <col min="15875" max="15875" width="27.6640625" style="2" customWidth="1"/>
    <col min="15876" max="15876" width="22.83203125" style="2" customWidth="1"/>
    <col min="15877" max="15877" width="31" style="2" customWidth="1"/>
    <col min="15878" max="15878" width="18.1640625" style="2" customWidth="1"/>
    <col min="15879" max="16128" width="9.33203125" style="2"/>
    <col min="16129" max="16129" width="7.5" style="2" bestFit="1" customWidth="1"/>
    <col min="16130" max="16130" width="71.6640625" style="2" customWidth="1"/>
    <col min="16131" max="16131" width="27.6640625" style="2" customWidth="1"/>
    <col min="16132" max="16132" width="22.83203125" style="2" customWidth="1"/>
    <col min="16133" max="16133" width="31" style="2" customWidth="1"/>
    <col min="16134" max="16134" width="18.1640625" style="2" customWidth="1"/>
    <col min="16135" max="16384" width="9.33203125" style="2"/>
  </cols>
  <sheetData>
    <row r="1" spans="1:10" ht="15.75">
      <c r="A1" s="731"/>
      <c r="B1" s="736"/>
      <c r="C1" s="735"/>
      <c r="D1" s="692"/>
      <c r="E1" s="735"/>
      <c r="F1" s="734" t="s">
        <v>873</v>
      </c>
    </row>
    <row r="2" spans="1:10" ht="15.75">
      <c r="A2" s="735"/>
      <c r="B2" s="735"/>
      <c r="C2" s="735"/>
      <c r="D2" s="692"/>
      <c r="E2" s="735"/>
      <c r="F2" s="734" t="str">
        <f>'MCC-2r page 1-6'!BB2</f>
        <v>Dockets UE-170033/UG-170034</v>
      </c>
    </row>
    <row r="3" spans="1:10" ht="15.75">
      <c r="A3" s="731"/>
      <c r="B3" s="920" t="s">
        <v>836</v>
      </c>
      <c r="C3" s="920"/>
      <c r="D3" s="920"/>
      <c r="E3" s="920"/>
      <c r="F3" s="734" t="s">
        <v>797</v>
      </c>
    </row>
    <row r="4" spans="1:10" ht="15.75">
      <c r="A4" s="938" t="s">
        <v>835</v>
      </c>
      <c r="B4" s="938"/>
      <c r="C4" s="938"/>
      <c r="D4" s="938"/>
      <c r="E4" s="938"/>
      <c r="F4" s="938"/>
    </row>
    <row r="5" spans="1:10" ht="15.75">
      <c r="A5" s="938" t="s">
        <v>834</v>
      </c>
      <c r="B5" s="938"/>
      <c r="C5" s="938"/>
      <c r="D5" s="938"/>
      <c r="E5" s="938"/>
      <c r="F5" s="938"/>
    </row>
    <row r="6" spans="1:10" ht="15.75">
      <c r="A6" s="938" t="s">
        <v>833</v>
      </c>
      <c r="B6" s="938"/>
      <c r="C6" s="938"/>
      <c r="D6" s="938"/>
      <c r="E6" s="938"/>
      <c r="F6" s="938"/>
    </row>
    <row r="7" spans="1:10" ht="16.5" thickBot="1">
      <c r="A7" s="938"/>
      <c r="B7" s="938"/>
      <c r="C7" s="938"/>
      <c r="D7" s="938"/>
      <c r="E7" s="938"/>
      <c r="F7" s="938"/>
    </row>
    <row r="8" spans="1:10" ht="33.75" customHeight="1" thickBot="1">
      <c r="A8" s="732"/>
      <c r="B8" s="732"/>
      <c r="C8" s="732"/>
      <c r="D8" s="732"/>
      <c r="E8" s="733" t="s">
        <v>832</v>
      </c>
      <c r="F8" s="732"/>
    </row>
    <row r="9" spans="1:10" ht="47.25">
      <c r="A9" s="731"/>
      <c r="B9" s="731"/>
      <c r="C9" s="728" t="s">
        <v>831</v>
      </c>
      <c r="D9" s="729" t="s">
        <v>830</v>
      </c>
      <c r="E9" s="728" t="s">
        <v>829</v>
      </c>
    </row>
    <row r="10" spans="1:10" ht="15.75">
      <c r="A10" s="730" t="s">
        <v>99</v>
      </c>
      <c r="B10" s="698" t="s">
        <v>828</v>
      </c>
      <c r="C10" s="728" t="s">
        <v>827</v>
      </c>
      <c r="D10" s="729" t="s">
        <v>826</v>
      </c>
      <c r="E10" s="728" t="s">
        <v>825</v>
      </c>
      <c r="F10" s="723" t="s">
        <v>791</v>
      </c>
    </row>
    <row r="11" spans="1:10" ht="15.75">
      <c r="A11" s="727" t="s">
        <v>58</v>
      </c>
      <c r="B11" s="716" t="s">
        <v>789</v>
      </c>
      <c r="C11" s="726" t="s">
        <v>824</v>
      </c>
      <c r="D11" s="725" t="s">
        <v>824</v>
      </c>
      <c r="E11" s="724" t="s">
        <v>824</v>
      </c>
      <c r="F11" s="723" t="s">
        <v>791</v>
      </c>
    </row>
    <row r="12" spans="1:10" ht="19.5" customHeight="1">
      <c r="A12" s="690">
        <v>1</v>
      </c>
      <c r="B12" s="704" t="s">
        <v>823</v>
      </c>
      <c r="C12" s="714"/>
      <c r="D12" s="699"/>
      <c r="E12" s="714"/>
      <c r="F12" s="722" t="s">
        <v>822</v>
      </c>
    </row>
    <row r="13" spans="1:10" ht="15.75">
      <c r="A13" s="690">
        <v>2</v>
      </c>
      <c r="B13" s="689" t="s">
        <v>821</v>
      </c>
      <c r="C13" s="714">
        <v>7389220147</v>
      </c>
      <c r="D13" s="905">
        <f>E13-C13</f>
        <v>-3.7508010864257813E-3</v>
      </c>
      <c r="E13" s="906">
        <v>7389220146.9962492</v>
      </c>
      <c r="F13" s="694"/>
      <c r="J13" s="7"/>
    </row>
    <row r="14" spans="1:10" ht="15.75">
      <c r="A14" s="690">
        <v>3</v>
      </c>
      <c r="B14" s="689"/>
      <c r="C14" s="711"/>
      <c r="D14" s="712"/>
      <c r="E14" s="711"/>
      <c r="F14" s="694"/>
      <c r="J14" s="7"/>
    </row>
    <row r="15" spans="1:10" ht="18.75">
      <c r="A15" s="690">
        <v>4</v>
      </c>
      <c r="B15" s="704" t="s">
        <v>820</v>
      </c>
      <c r="C15" s="694"/>
      <c r="D15" s="701"/>
      <c r="E15" s="694"/>
      <c r="F15" s="694"/>
      <c r="J15" s="7"/>
    </row>
    <row r="16" spans="1:10" ht="15.75">
      <c r="A16" s="690">
        <v>5</v>
      </c>
      <c r="B16" s="715"/>
      <c r="C16" s="694"/>
      <c r="D16" s="701"/>
      <c r="E16" s="694"/>
      <c r="F16" s="694"/>
      <c r="J16" s="7"/>
    </row>
    <row r="17" spans="1:10" ht="15.75">
      <c r="A17" s="690">
        <v>6</v>
      </c>
      <c r="B17" s="716" t="s">
        <v>819</v>
      </c>
      <c r="C17" s="714"/>
      <c r="D17" s="699"/>
      <c r="E17" s="714"/>
      <c r="F17" s="694"/>
      <c r="J17" s="7"/>
    </row>
    <row r="18" spans="1:10" ht="15.75">
      <c r="A18" s="690">
        <v>7</v>
      </c>
      <c r="B18" s="689"/>
      <c r="C18" s="714"/>
      <c r="D18" s="699"/>
      <c r="E18" s="714"/>
      <c r="F18" s="694"/>
      <c r="J18" s="7"/>
    </row>
    <row r="19" spans="1:10" ht="15.75">
      <c r="A19" s="690">
        <v>8</v>
      </c>
      <c r="B19" s="691" t="s">
        <v>818</v>
      </c>
      <c r="C19" s="694">
        <v>4961861442.2393255</v>
      </c>
      <c r="D19" s="905">
        <f>E19-C19</f>
        <v>-35662222.355732918</v>
      </c>
      <c r="E19" s="907">
        <v>4926199219.8835926</v>
      </c>
      <c r="F19" s="694"/>
      <c r="J19" s="7"/>
    </row>
    <row r="20" spans="1:10" ht="15.75">
      <c r="A20" s="690">
        <v>9</v>
      </c>
      <c r="B20" s="691"/>
      <c r="C20" s="711"/>
      <c r="D20" s="712"/>
      <c r="E20" s="711"/>
      <c r="F20" s="694"/>
    </row>
    <row r="21" spans="1:10" ht="15.75">
      <c r="A21" s="690">
        <v>10</v>
      </c>
      <c r="B21" s="716" t="s">
        <v>817</v>
      </c>
      <c r="C21" s="714"/>
      <c r="D21" s="699"/>
      <c r="E21" s="714"/>
      <c r="F21" s="694"/>
    </row>
    <row r="22" spans="1:10" ht="15.75">
      <c r="A22" s="690">
        <v>11</v>
      </c>
      <c r="B22" s="689"/>
      <c r="C22" s="714"/>
      <c r="D22" s="699"/>
      <c r="E22" s="714"/>
      <c r="F22" s="694"/>
    </row>
    <row r="23" spans="1:10" ht="15.75">
      <c r="A23" s="690">
        <v>12</v>
      </c>
      <c r="B23" s="691" t="s">
        <v>816</v>
      </c>
      <c r="C23" s="694">
        <v>1697061852.0560913</v>
      </c>
      <c r="D23" s="721">
        <f>E23-C23</f>
        <v>-47382699.081768513</v>
      </c>
      <c r="E23" s="694">
        <v>1649679152.9743228</v>
      </c>
      <c r="F23" s="694"/>
      <c r="J23" s="7"/>
    </row>
    <row r="24" spans="1:10" ht="15.75">
      <c r="A24" s="690">
        <v>13</v>
      </c>
      <c r="B24" s="689"/>
      <c r="C24" s="720"/>
      <c r="D24" s="705"/>
      <c r="E24" s="720"/>
      <c r="F24" s="694"/>
      <c r="J24" s="7"/>
    </row>
    <row r="25" spans="1:10" ht="15.75">
      <c r="A25" s="690">
        <v>14</v>
      </c>
      <c r="B25" s="689" t="s">
        <v>815</v>
      </c>
      <c r="C25" s="719">
        <v>6658923294.2954168</v>
      </c>
      <c r="D25" s="908">
        <f>E25-C25</f>
        <v>-83044921.437500954</v>
      </c>
      <c r="E25" s="909">
        <f>E19+E23</f>
        <v>6575878372.8579159</v>
      </c>
      <c r="F25" s="694"/>
      <c r="J25" s="7"/>
    </row>
    <row r="26" spans="1:10" ht="15.75">
      <c r="A26" s="690">
        <v>15</v>
      </c>
      <c r="B26" s="689"/>
      <c r="C26" s="717"/>
      <c r="D26" s="705"/>
      <c r="E26" s="717"/>
      <c r="F26" s="718"/>
    </row>
    <row r="27" spans="1:10" ht="15.75">
      <c r="A27" s="690">
        <v>16</v>
      </c>
      <c r="B27" s="689"/>
      <c r="C27" s="717"/>
      <c r="D27" s="705"/>
      <c r="E27" s="717"/>
      <c r="F27" s="694"/>
    </row>
    <row r="28" spans="1:10" ht="15.75">
      <c r="A28" s="690">
        <v>17</v>
      </c>
      <c r="B28" s="716" t="s">
        <v>814</v>
      </c>
      <c r="C28" s="689"/>
      <c r="D28" s="692"/>
      <c r="E28" s="689"/>
      <c r="F28" s="694"/>
    </row>
    <row r="29" spans="1:10" ht="15.75">
      <c r="A29" s="690">
        <v>18</v>
      </c>
      <c r="B29" s="715"/>
      <c r="C29" s="714"/>
      <c r="D29" s="699"/>
      <c r="E29" s="714"/>
    </row>
    <row r="30" spans="1:10" ht="15.75">
      <c r="A30" s="690">
        <v>19</v>
      </c>
      <c r="B30" s="691" t="s">
        <v>813</v>
      </c>
      <c r="C30" s="713">
        <v>425115043</v>
      </c>
      <c r="D30" s="908">
        <f>E30-C30</f>
        <v>40870494.282916307</v>
      </c>
      <c r="E30" s="910">
        <v>465985537.28291631</v>
      </c>
      <c r="F30" s="694"/>
      <c r="J30" s="7"/>
    </row>
    <row r="31" spans="1:10" ht="15.75">
      <c r="A31" s="690">
        <v>20</v>
      </c>
      <c r="B31" s="691"/>
      <c r="C31" s="711"/>
      <c r="D31" s="712"/>
      <c r="E31" s="711"/>
      <c r="F31" s="710" t="s">
        <v>812</v>
      </c>
    </row>
    <row r="32" spans="1:10" ht="15.75">
      <c r="A32" s="690">
        <v>21</v>
      </c>
      <c r="B32" s="691" t="s">
        <v>811</v>
      </c>
      <c r="C32" s="694">
        <v>7084038337.2954168</v>
      </c>
      <c r="D32" s="911">
        <f>E32-C32</f>
        <v>-42174427.154584885</v>
      </c>
      <c r="E32" s="907">
        <v>7041863910.1408319</v>
      </c>
      <c r="F32" s="694"/>
      <c r="J32" s="7"/>
    </row>
    <row r="33" spans="1:16" ht="15.75">
      <c r="A33" s="690">
        <v>22</v>
      </c>
      <c r="B33" s="691" t="s">
        <v>810</v>
      </c>
      <c r="C33" s="708"/>
      <c r="D33" s="709"/>
      <c r="E33" s="708"/>
      <c r="F33" s="706"/>
    </row>
    <row r="34" spans="1:16" ht="16.5" thickBot="1">
      <c r="A34" s="690">
        <v>23</v>
      </c>
      <c r="B34" s="691" t="s">
        <v>809</v>
      </c>
      <c r="C34" s="707">
        <v>305181809.70458317</v>
      </c>
      <c r="D34" s="912">
        <f>E34-C34</f>
        <v>42174427.150834084</v>
      </c>
      <c r="E34" s="912">
        <v>347356236.85541725</v>
      </c>
      <c r="F34" s="694"/>
      <c r="J34" s="6"/>
    </row>
    <row r="35" spans="1:16" ht="16.5" thickTop="1">
      <c r="A35" s="690">
        <v>24</v>
      </c>
      <c r="B35" s="691"/>
      <c r="C35" s="703"/>
      <c r="D35" s="705"/>
      <c r="E35" s="703"/>
      <c r="F35" s="706"/>
    </row>
    <row r="36" spans="1:16" ht="15.75">
      <c r="A36" s="690">
        <v>25</v>
      </c>
      <c r="B36" s="691"/>
      <c r="C36" s="703"/>
      <c r="D36" s="705"/>
      <c r="E36" s="703"/>
      <c r="F36" s="703"/>
    </row>
    <row r="37" spans="1:16" ht="18.75">
      <c r="A37" s="690">
        <v>26</v>
      </c>
      <c r="B37" s="704" t="s">
        <v>808</v>
      </c>
      <c r="C37" s="694"/>
      <c r="D37" s="701"/>
      <c r="E37" s="694"/>
      <c r="F37" s="703"/>
    </row>
    <row r="38" spans="1:16" ht="15.75">
      <c r="A38" s="690">
        <v>27</v>
      </c>
      <c r="B38" s="689"/>
      <c r="C38" s="689"/>
      <c r="D38" s="692"/>
      <c r="E38" s="689"/>
      <c r="F38" s="694"/>
    </row>
    <row r="39" spans="1:16" ht="15.75">
      <c r="A39" s="690">
        <v>28</v>
      </c>
      <c r="B39" s="698" t="s">
        <v>807</v>
      </c>
      <c r="C39" s="702">
        <v>227005241.70228952</v>
      </c>
      <c r="D39" s="908">
        <f>E39-C39</f>
        <v>15990937.271673262</v>
      </c>
      <c r="E39" s="913">
        <v>242996178.97396278</v>
      </c>
      <c r="F39" s="694"/>
      <c r="J39" s="7"/>
      <c r="M39" s="7"/>
    </row>
    <row r="40" spans="1:16" ht="15.75">
      <c r="A40" s="690">
        <v>29</v>
      </c>
      <c r="B40" s="689" t="s">
        <v>806</v>
      </c>
      <c r="C40" s="695">
        <f>C39/$C$34</f>
        <v>0.74383608224235653</v>
      </c>
      <c r="D40" s="701"/>
      <c r="E40" s="914">
        <f>E39/$E$34</f>
        <v>0.69955899215682416</v>
      </c>
      <c r="F40" s="694"/>
    </row>
    <row r="41" spans="1:16" ht="15.75">
      <c r="A41" s="690">
        <v>30</v>
      </c>
      <c r="B41" s="698" t="s">
        <v>805</v>
      </c>
      <c r="C41" s="697">
        <v>77640607.339463621</v>
      </c>
      <c r="D41" s="908">
        <f>E41-C41</f>
        <v>3733635.3196135014</v>
      </c>
      <c r="E41" s="913">
        <v>81374242.659077123</v>
      </c>
      <c r="F41" s="700"/>
      <c r="J41" s="7"/>
      <c r="M41" s="7"/>
    </row>
    <row r="42" spans="1:16" ht="15.75">
      <c r="A42" s="690">
        <v>31</v>
      </c>
      <c r="B42" s="689" t="s">
        <v>804</v>
      </c>
      <c r="C42" s="695">
        <f>C41/$C$34</f>
        <v>0.25440771654975092</v>
      </c>
      <c r="D42" s="699"/>
      <c r="E42" s="914">
        <f>E41/$E$34</f>
        <v>0.23426740051006525</v>
      </c>
      <c r="F42" s="694"/>
    </row>
    <row r="43" spans="1:16" ht="15.75">
      <c r="A43" s="690">
        <v>32</v>
      </c>
      <c r="B43" s="698" t="s">
        <v>803</v>
      </c>
      <c r="C43" s="697">
        <v>535960.66283002496</v>
      </c>
      <c r="D43" s="908">
        <f>E43-C43</f>
        <v>22449854.559550174</v>
      </c>
      <c r="E43" s="915">
        <v>22985815.222380199</v>
      </c>
      <c r="F43" s="691"/>
      <c r="H43" s="78"/>
      <c r="I43" s="78"/>
      <c r="J43" s="696"/>
      <c r="K43" s="78"/>
      <c r="L43" s="78"/>
      <c r="M43" s="78"/>
      <c r="N43" s="78"/>
      <c r="O43" s="78"/>
      <c r="P43" s="78"/>
    </row>
    <row r="44" spans="1:16" s="78" customFormat="1" ht="15.75">
      <c r="A44" s="690">
        <v>33</v>
      </c>
      <c r="B44" s="689" t="s">
        <v>802</v>
      </c>
      <c r="C44" s="695">
        <f>C43/$C$34</f>
        <v>1.7562012078925554E-3</v>
      </c>
      <c r="D44" s="692"/>
      <c r="E44" s="914">
        <f>E43/$E$34</f>
        <v>6.617360733311882E-2</v>
      </c>
      <c r="F44" s="694"/>
      <c r="H44" s="2"/>
      <c r="I44" s="2"/>
      <c r="J44" s="2"/>
      <c r="K44" s="2"/>
      <c r="L44" s="2"/>
      <c r="M44" s="2"/>
      <c r="N44" s="2"/>
      <c r="O44" s="2"/>
      <c r="P44" s="2"/>
    </row>
    <row r="45" spans="1:16" ht="16.5" thickBot="1">
      <c r="A45" s="690">
        <v>34</v>
      </c>
      <c r="B45" s="693" t="s">
        <v>801</v>
      </c>
      <c r="C45" s="689"/>
      <c r="D45" s="692"/>
      <c r="E45" s="689"/>
      <c r="F45" s="691"/>
    </row>
    <row r="46" spans="1:16" ht="48" customHeight="1" thickBot="1">
      <c r="A46" s="690">
        <v>35</v>
      </c>
      <c r="B46" s="935" t="s">
        <v>800</v>
      </c>
      <c r="C46" s="936"/>
      <c r="D46" s="936"/>
      <c r="E46" s="937"/>
      <c r="F46" s="689"/>
    </row>
    <row r="47" spans="1:16" ht="33" customHeight="1">
      <c r="F47" s="688"/>
    </row>
  </sheetData>
  <mergeCells count="6">
    <mergeCell ref="B46:E46"/>
    <mergeCell ref="B3:E3"/>
    <mergeCell ref="A4:F4"/>
    <mergeCell ref="A5:F5"/>
    <mergeCell ref="A6:F6"/>
    <mergeCell ref="A7:F7"/>
  </mergeCells>
  <pageMargins left="1" right="0.46" top="1" bottom="0.57999999999999996" header="0.24" footer="0.31"/>
  <pageSetup scale="60" fitToHeight="2" orientation="portrait" r:id="rId1"/>
  <headerFooter alignWithMargins="0">
    <oddFooter>&amp;CREVISED AUGUST 08, 2017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X96"/>
  <sheetViews>
    <sheetView view="pageBreakPreview" zoomScale="70" zoomScaleNormal="85" zoomScaleSheetLayoutView="70" workbookViewId="0">
      <pane xSplit="3" ySplit="17" topLeftCell="AK18" activePane="bottomRight" state="frozen"/>
      <selection activeCell="AU18" sqref="AU18"/>
      <selection pane="topRight" activeCell="AU18" sqref="AU18"/>
      <selection pane="bottomLeft" activeCell="AU18" sqref="AU18"/>
      <selection pane="bottomRight" activeCell="AU18" sqref="AU18"/>
    </sheetView>
  </sheetViews>
  <sheetFormatPr defaultColWidth="10.6640625" defaultRowHeight="12.75" outlineLevelCol="1"/>
  <cols>
    <col min="1" max="1" width="7.33203125" style="741" customWidth="1"/>
    <col min="2" max="2" width="52.33203125" style="739" customWidth="1"/>
    <col min="3" max="3" width="20" style="739" customWidth="1"/>
    <col min="4" max="4" width="15.5" style="739" customWidth="1"/>
    <col min="5" max="5" width="27.1640625" style="739" customWidth="1"/>
    <col min="6" max="6" width="20.5" style="739" customWidth="1"/>
    <col min="7" max="7" width="17.83203125" style="739" customWidth="1"/>
    <col min="8" max="8" width="28" style="739" customWidth="1"/>
    <col min="9" max="9" width="20" style="739" customWidth="1"/>
    <col min="10" max="10" width="15.1640625" style="739" customWidth="1"/>
    <col min="11" max="16" width="20.6640625" style="739" customWidth="1"/>
    <col min="17" max="17" width="19.1640625" style="739" customWidth="1"/>
    <col min="18" max="18" width="19.5" style="739" customWidth="1"/>
    <col min="19" max="19" width="20.6640625" style="739" customWidth="1"/>
    <col min="20" max="20" width="19" style="739" customWidth="1"/>
    <col min="21" max="21" width="18" style="739" customWidth="1"/>
    <col min="22" max="22" width="19" style="739" customWidth="1"/>
    <col min="23" max="23" width="25.5" style="739" bestFit="1" customWidth="1"/>
    <col min="24" max="24" width="20.6640625" style="739" customWidth="1"/>
    <col min="25" max="25" width="20" style="739" customWidth="1"/>
    <col min="26" max="26" width="16.5" style="739" customWidth="1"/>
    <col min="27" max="27" width="20.6640625" style="739" customWidth="1"/>
    <col min="28" max="28" width="18.83203125" style="739" customWidth="1"/>
    <col min="29" max="29" width="20.6640625" style="739" customWidth="1"/>
    <col min="30" max="30" width="17.5" style="739" customWidth="1"/>
    <col min="31" max="31" width="19.1640625" style="739" customWidth="1"/>
    <col min="32" max="32" width="18.5" style="739" customWidth="1"/>
    <col min="33" max="33" width="15.6640625" style="739" customWidth="1"/>
    <col min="34" max="35" width="26.33203125" style="739" bestFit="1" customWidth="1"/>
    <col min="36" max="36" width="14.5" style="739" customWidth="1"/>
    <col min="37" max="37" width="25.83203125" style="739" bestFit="1" customWidth="1"/>
    <col min="38" max="38" width="18.33203125" style="739" customWidth="1"/>
    <col min="39" max="40" width="20.6640625" style="739" customWidth="1"/>
    <col min="41" max="41" width="23" style="739" bestFit="1" customWidth="1"/>
    <col min="42" max="44" width="20.6640625" style="739" customWidth="1"/>
    <col min="45" max="45" width="20.6640625" style="740" customWidth="1"/>
    <col min="46" max="46" width="2.83203125" style="739" customWidth="1" outlineLevel="1"/>
    <col min="47" max="47" width="13.83203125" style="738" customWidth="1" outlineLevel="1"/>
    <col min="48" max="49" width="21.5" style="737" customWidth="1"/>
    <col min="50" max="50" width="13.83203125" style="737" customWidth="1"/>
    <col min="51" max="16384" width="10.6640625" style="737"/>
  </cols>
  <sheetData>
    <row r="1" spans="1:50" ht="24" customHeight="1">
      <c r="A1" s="825" t="s">
        <v>854</v>
      </c>
      <c r="I1" s="837" t="str">
        <f>Q1</f>
        <v>Exh. MCC-6</v>
      </c>
      <c r="Q1" s="837" t="str">
        <f>Y1</f>
        <v>Exh. MCC-6</v>
      </c>
      <c r="Y1" s="837" t="str">
        <f>AG1</f>
        <v>Exh. MCC-6</v>
      </c>
      <c r="AG1" s="837" t="str">
        <f>AN1</f>
        <v>Exh. MCC-6</v>
      </c>
      <c r="AN1" s="837" t="str">
        <f>AX1</f>
        <v>Exh. MCC-6</v>
      </c>
      <c r="AX1" s="839" t="s">
        <v>853</v>
      </c>
    </row>
    <row r="2" spans="1:50" ht="39.75" customHeight="1">
      <c r="A2" s="943" t="s">
        <v>852</v>
      </c>
      <c r="B2" s="943"/>
      <c r="C2" s="842"/>
      <c r="I2" s="837" t="str">
        <f>Q2</f>
        <v>Dockets UE-170033/UG-170034</v>
      </c>
      <c r="Q2" s="837" t="str">
        <f>Y2</f>
        <v>Dockets UE-170033/UG-170034</v>
      </c>
      <c r="Y2" s="837" t="str">
        <f>AG2</f>
        <v>Dockets UE-170033/UG-170034</v>
      </c>
      <c r="AG2" s="837" t="str">
        <f>AN2</f>
        <v>Dockets UE-170033/UG-170034</v>
      </c>
      <c r="AN2" s="837" t="str">
        <f>AX2</f>
        <v>Dockets UE-170033/UG-170034</v>
      </c>
      <c r="AX2" s="839" t="str">
        <f>'MCC-2r page 1-6'!BB2</f>
        <v>Dockets UE-170033/UG-170034</v>
      </c>
    </row>
    <row r="3" spans="1:50" ht="27" customHeight="1">
      <c r="A3" s="944" t="s">
        <v>851</v>
      </c>
      <c r="B3" s="944"/>
      <c r="C3" s="841"/>
      <c r="H3" s="837"/>
      <c r="I3" s="837" t="s">
        <v>850</v>
      </c>
      <c r="P3" s="837"/>
      <c r="Q3" s="837" t="s">
        <v>849</v>
      </c>
      <c r="Y3" s="837" t="s">
        <v>848</v>
      </c>
      <c r="AG3" s="837" t="s">
        <v>847</v>
      </c>
      <c r="AL3" s="837"/>
      <c r="AM3" s="840"/>
      <c r="AN3" s="837" t="s">
        <v>846</v>
      </c>
      <c r="AS3" s="837" t="s">
        <v>845</v>
      </c>
      <c r="AW3" s="837"/>
      <c r="AX3" s="837" t="s">
        <v>844</v>
      </c>
    </row>
    <row r="4" spans="1:50" ht="13.5" thickBot="1">
      <c r="A4" s="820"/>
      <c r="D4" s="796"/>
      <c r="F4" s="796"/>
      <c r="G4" s="796"/>
      <c r="H4" s="837"/>
      <c r="L4" s="796"/>
      <c r="M4" s="796"/>
      <c r="P4" s="837"/>
      <c r="Z4" s="796"/>
      <c r="AL4" s="837"/>
      <c r="AM4" s="796"/>
      <c r="AW4" s="837"/>
    </row>
    <row r="5" spans="1:50" ht="22.5" customHeight="1" thickBot="1">
      <c r="A5" s="820"/>
      <c r="B5" s="738"/>
      <c r="C5" s="820"/>
      <c r="D5" s="820"/>
      <c r="F5" s="820"/>
      <c r="G5" s="820"/>
      <c r="H5" s="839"/>
      <c r="I5" s="837" t="str">
        <f>AS3</f>
        <v>Exh. KJB-12</v>
      </c>
      <c r="L5" s="820"/>
      <c r="M5" s="820"/>
      <c r="P5" s="838"/>
      <c r="Q5" s="837" t="str">
        <f>AS3</f>
        <v>Exh. KJB-12</v>
      </c>
      <c r="T5" s="820"/>
      <c r="Y5" s="837" t="str">
        <f>AS3</f>
        <v>Exh. KJB-12</v>
      </c>
      <c r="Z5" s="820"/>
      <c r="AB5" s="820"/>
      <c r="AG5" s="837" t="str">
        <f>AS3</f>
        <v>Exh. KJB-12</v>
      </c>
      <c r="AL5" s="92"/>
      <c r="AN5" s="837" t="str">
        <f>AS3</f>
        <v>Exh. KJB-12</v>
      </c>
      <c r="AO5" s="820"/>
      <c r="AP5" s="820"/>
      <c r="AQ5" s="820"/>
      <c r="AR5" s="92"/>
      <c r="AS5" s="836"/>
      <c r="AT5" s="820"/>
      <c r="AV5" s="939" t="s">
        <v>843</v>
      </c>
      <c r="AW5" s="940"/>
      <c r="AX5" s="941"/>
    </row>
    <row r="6" spans="1:50" s="834" customFormat="1">
      <c r="E6" s="818" t="s">
        <v>148</v>
      </c>
      <c r="J6" s="942" t="s">
        <v>148</v>
      </c>
      <c r="K6" s="942"/>
      <c r="L6" s="942"/>
      <c r="M6" s="942"/>
      <c r="N6" s="942"/>
      <c r="O6" s="942"/>
      <c r="P6" s="942"/>
      <c r="Q6" s="942"/>
      <c r="R6" s="942" t="s">
        <v>148</v>
      </c>
      <c r="S6" s="942"/>
      <c r="T6" s="942"/>
      <c r="U6" s="942"/>
      <c r="V6" s="942"/>
      <c r="W6" s="942"/>
      <c r="X6" s="942"/>
      <c r="Y6" s="942"/>
      <c r="Z6" s="942" t="s">
        <v>148</v>
      </c>
      <c r="AA6" s="942"/>
      <c r="AB6" s="942"/>
      <c r="AC6" s="942"/>
      <c r="AD6" s="942"/>
      <c r="AE6" s="942"/>
      <c r="AF6" s="942"/>
      <c r="AG6" s="942"/>
      <c r="AH6" s="942" t="s">
        <v>148</v>
      </c>
      <c r="AI6" s="942"/>
      <c r="AJ6" s="942"/>
      <c r="AK6" s="942"/>
      <c r="AL6" s="942"/>
      <c r="AM6" s="942"/>
      <c r="AN6" s="942"/>
      <c r="AQ6" s="818" t="s">
        <v>148</v>
      </c>
    </row>
    <row r="7" spans="1:50" s="834" customFormat="1">
      <c r="E7" s="818" t="s">
        <v>146</v>
      </c>
      <c r="J7" s="942" t="s">
        <v>146</v>
      </c>
      <c r="K7" s="942"/>
      <c r="L7" s="942"/>
      <c r="M7" s="942"/>
      <c r="N7" s="942"/>
      <c r="O7" s="942"/>
      <c r="P7" s="942"/>
      <c r="Q7" s="942"/>
      <c r="R7" s="942" t="s">
        <v>146</v>
      </c>
      <c r="S7" s="942"/>
      <c r="T7" s="942"/>
      <c r="U7" s="942"/>
      <c r="V7" s="942"/>
      <c r="W7" s="942"/>
      <c r="X7" s="942"/>
      <c r="Y7" s="942"/>
      <c r="Z7" s="942" t="s">
        <v>146</v>
      </c>
      <c r="AA7" s="942"/>
      <c r="AB7" s="942"/>
      <c r="AC7" s="942"/>
      <c r="AD7" s="942"/>
      <c r="AE7" s="942"/>
      <c r="AF7" s="942"/>
      <c r="AG7" s="942"/>
      <c r="AH7" s="942" t="s">
        <v>146</v>
      </c>
      <c r="AI7" s="942"/>
      <c r="AJ7" s="942"/>
      <c r="AK7" s="942"/>
      <c r="AL7" s="942"/>
      <c r="AM7" s="942"/>
      <c r="AN7" s="942"/>
      <c r="AQ7" s="818" t="s">
        <v>146</v>
      </c>
    </row>
    <row r="8" spans="1:50" s="834" customFormat="1">
      <c r="E8" s="818" t="str">
        <f>keep_TESTYEAR</f>
        <v>FOR THE TWELVE MONTHS ENDED SEPTEMBER 30, 2016</v>
      </c>
      <c r="J8" s="942" t="str">
        <f>keep_TESTYEAR</f>
        <v>FOR THE TWELVE MONTHS ENDED SEPTEMBER 30, 2016</v>
      </c>
      <c r="K8" s="942"/>
      <c r="L8" s="942"/>
      <c r="M8" s="942"/>
      <c r="N8" s="942"/>
      <c r="O8" s="942"/>
      <c r="P8" s="942"/>
      <c r="Q8" s="942"/>
      <c r="R8" s="942" t="str">
        <f>keep_TESTYEAR</f>
        <v>FOR THE TWELVE MONTHS ENDED SEPTEMBER 30, 2016</v>
      </c>
      <c r="S8" s="942"/>
      <c r="T8" s="942"/>
      <c r="U8" s="942"/>
      <c r="V8" s="942"/>
      <c r="W8" s="942"/>
      <c r="X8" s="942"/>
      <c r="Y8" s="942"/>
      <c r="Z8" s="942" t="str">
        <f>keep_TESTYEAR</f>
        <v>FOR THE TWELVE MONTHS ENDED SEPTEMBER 30, 2016</v>
      </c>
      <c r="AA8" s="942"/>
      <c r="AB8" s="942"/>
      <c r="AC8" s="942"/>
      <c r="AD8" s="942"/>
      <c r="AE8" s="942"/>
      <c r="AF8" s="942"/>
      <c r="AG8" s="942"/>
      <c r="AH8" s="942" t="str">
        <f>keep_TESTYEAR</f>
        <v>FOR THE TWELVE MONTHS ENDED SEPTEMBER 30, 2016</v>
      </c>
      <c r="AI8" s="942"/>
      <c r="AJ8" s="942"/>
      <c r="AK8" s="942"/>
      <c r="AL8" s="942"/>
      <c r="AM8" s="942"/>
      <c r="AN8" s="942"/>
      <c r="AQ8" s="818" t="str">
        <f>keep_TESTYEAR</f>
        <v>FOR THE TWELVE MONTHS ENDED SEPTEMBER 30, 2016</v>
      </c>
    </row>
    <row r="9" spans="1:50">
      <c r="A9" s="825"/>
      <c r="B9" s="738"/>
      <c r="C9" s="737"/>
      <c r="D9" s="834"/>
      <c r="E9" s="818" t="s">
        <v>842</v>
      </c>
      <c r="F9" s="834"/>
      <c r="G9" s="834"/>
      <c r="H9" s="834"/>
      <c r="I9" s="834"/>
      <c r="J9" s="942" t="s">
        <v>841</v>
      </c>
      <c r="K9" s="942"/>
      <c r="L9" s="942"/>
      <c r="M9" s="942"/>
      <c r="N9" s="942"/>
      <c r="O9" s="942"/>
      <c r="P9" s="942"/>
      <c r="Q9" s="942"/>
      <c r="R9" s="942" t="s">
        <v>840</v>
      </c>
      <c r="S9" s="942"/>
      <c r="T9" s="942"/>
      <c r="U9" s="942"/>
      <c r="V9" s="942"/>
      <c r="W9" s="942"/>
      <c r="X9" s="942"/>
      <c r="Y9" s="942"/>
      <c r="Z9" s="942" t="s">
        <v>839</v>
      </c>
      <c r="AA9" s="942"/>
      <c r="AB9" s="942"/>
      <c r="AC9" s="942"/>
      <c r="AD9" s="942"/>
      <c r="AE9" s="942"/>
      <c r="AF9" s="942"/>
      <c r="AG9" s="942"/>
      <c r="AH9" s="942" t="s">
        <v>838</v>
      </c>
      <c r="AI9" s="942"/>
      <c r="AJ9" s="942"/>
      <c r="AK9" s="942"/>
      <c r="AL9" s="942"/>
      <c r="AM9" s="942"/>
      <c r="AN9" s="942"/>
      <c r="AO9" s="835" t="s">
        <v>145</v>
      </c>
      <c r="AP9" s="834"/>
      <c r="AQ9" s="834"/>
      <c r="AR9" s="834"/>
      <c r="AS9" s="834"/>
      <c r="AT9" s="820"/>
    </row>
    <row r="10" spans="1:50">
      <c r="A10" s="825"/>
      <c r="B10" s="738"/>
      <c r="C10" s="830"/>
      <c r="D10" s="830"/>
      <c r="E10" s="830"/>
      <c r="F10" s="830"/>
      <c r="G10" s="830"/>
      <c r="H10" s="830"/>
      <c r="I10" s="830"/>
      <c r="J10" s="833"/>
      <c r="K10" s="830"/>
      <c r="L10" s="830"/>
      <c r="M10" s="830"/>
      <c r="N10" s="830"/>
      <c r="O10" s="833"/>
      <c r="P10" s="830"/>
      <c r="Q10" s="830"/>
      <c r="R10" s="830"/>
      <c r="S10" s="830"/>
      <c r="T10" s="830"/>
      <c r="U10" s="830"/>
      <c r="V10" s="830"/>
      <c r="W10" s="830"/>
      <c r="X10" s="830"/>
      <c r="Y10" s="737"/>
      <c r="Z10" s="737"/>
      <c r="AA10" s="830"/>
      <c r="AB10" s="833"/>
      <c r="AC10" s="830"/>
      <c r="AD10" s="830"/>
      <c r="AE10" s="830"/>
      <c r="AF10" s="830"/>
      <c r="AG10" s="830"/>
      <c r="AH10" s="830"/>
      <c r="AI10" s="830"/>
      <c r="AJ10" s="830"/>
      <c r="AK10" s="830"/>
      <c r="AL10" s="830"/>
      <c r="AM10" s="830"/>
      <c r="AN10" s="830"/>
      <c r="AO10" s="820"/>
      <c r="AP10" s="820"/>
      <c r="AQ10" s="820"/>
      <c r="AR10" s="820"/>
      <c r="AS10" s="820"/>
      <c r="AT10" s="820"/>
    </row>
    <row r="11" spans="1:50" ht="13.5">
      <c r="A11" s="825"/>
      <c r="B11" s="738"/>
      <c r="C11" s="830"/>
      <c r="D11" s="830"/>
      <c r="E11" s="830"/>
      <c r="F11" s="830"/>
      <c r="G11" s="830"/>
      <c r="H11" s="830"/>
      <c r="I11" s="818"/>
      <c r="J11" s="833"/>
      <c r="K11" s="830"/>
      <c r="L11" s="830"/>
      <c r="M11" s="830"/>
      <c r="N11" s="830"/>
      <c r="O11" s="833"/>
      <c r="P11" s="830"/>
      <c r="Q11" s="830"/>
      <c r="R11" s="830"/>
      <c r="S11" s="830"/>
      <c r="T11" s="830"/>
      <c r="U11" s="830"/>
      <c r="V11" s="830"/>
      <c r="W11" s="830"/>
      <c r="X11" s="830"/>
      <c r="Y11" s="830"/>
      <c r="Z11" s="830"/>
      <c r="AA11" s="830"/>
      <c r="AB11" s="833"/>
      <c r="AC11" s="830"/>
      <c r="AD11" s="830"/>
      <c r="AE11" s="830"/>
      <c r="AF11" s="830"/>
      <c r="AG11" s="830"/>
      <c r="AH11" s="830"/>
      <c r="AI11" s="830"/>
      <c r="AJ11" s="830"/>
      <c r="AK11" s="830"/>
      <c r="AL11" s="830"/>
      <c r="AM11" s="830"/>
      <c r="AN11" s="830"/>
      <c r="AO11" s="820"/>
      <c r="AP11" s="820"/>
      <c r="AQ11" s="820"/>
      <c r="AR11" s="820"/>
      <c r="AS11" s="820"/>
      <c r="AT11" s="820"/>
      <c r="AV11" s="832" t="s">
        <v>141</v>
      </c>
      <c r="AW11" s="832" t="s">
        <v>141</v>
      </c>
    </row>
    <row r="12" spans="1:50" ht="13.5">
      <c r="A12" s="825"/>
      <c r="B12" s="831"/>
      <c r="C12" s="830"/>
      <c r="D12" s="818"/>
      <c r="E12" s="818"/>
      <c r="F12" s="818" t="s">
        <v>15</v>
      </c>
      <c r="G12" s="818"/>
      <c r="H12" s="827" t="s">
        <v>144</v>
      </c>
      <c r="I12" s="829"/>
      <c r="J12" s="818"/>
      <c r="K12" s="827" t="s">
        <v>144</v>
      </c>
      <c r="L12" s="827" t="s">
        <v>144</v>
      </c>
      <c r="M12" s="818"/>
      <c r="N12" s="827" t="s">
        <v>144</v>
      </c>
      <c r="O12" s="818"/>
      <c r="P12" s="818"/>
      <c r="Q12" s="818"/>
      <c r="R12" s="818"/>
      <c r="S12" s="827" t="s">
        <v>144</v>
      </c>
      <c r="T12" s="827" t="s">
        <v>144</v>
      </c>
      <c r="U12" s="818"/>
      <c r="V12" s="818"/>
      <c r="W12" s="818"/>
      <c r="X12" s="828"/>
      <c r="Y12" s="818"/>
      <c r="Z12" s="827" t="s">
        <v>144</v>
      </c>
      <c r="AA12" s="827" t="s">
        <v>144</v>
      </c>
      <c r="AB12" s="828"/>
      <c r="AC12" s="818"/>
      <c r="AD12" s="827" t="s">
        <v>144</v>
      </c>
      <c r="AE12" s="818"/>
      <c r="AF12" s="828"/>
      <c r="AG12" s="818"/>
      <c r="AH12" s="828"/>
      <c r="AI12" s="828"/>
      <c r="AJ12" s="827" t="s">
        <v>144</v>
      </c>
      <c r="AK12" s="818"/>
      <c r="AL12" s="827" t="s">
        <v>144</v>
      </c>
      <c r="AM12" s="827" t="s">
        <v>144</v>
      </c>
      <c r="AN12" s="827" t="s">
        <v>144</v>
      </c>
      <c r="AO12" s="818"/>
      <c r="AP12" s="827" t="s">
        <v>144</v>
      </c>
      <c r="AQ12" s="827" t="s">
        <v>144</v>
      </c>
      <c r="AR12" s="827" t="s">
        <v>144</v>
      </c>
      <c r="AS12" s="827" t="s">
        <v>144</v>
      </c>
      <c r="AT12" s="820"/>
      <c r="AU12" s="826"/>
    </row>
    <row r="13" spans="1:50" ht="18.75" customHeight="1">
      <c r="A13" s="825"/>
      <c r="B13" s="820"/>
      <c r="C13" s="818" t="s">
        <v>140</v>
      </c>
      <c r="D13" s="818" t="s">
        <v>139</v>
      </c>
      <c r="E13" s="818" t="s">
        <v>138</v>
      </c>
      <c r="F13" s="818" t="s">
        <v>137</v>
      </c>
      <c r="G13" s="818" t="s">
        <v>136</v>
      </c>
      <c r="H13" s="818" t="s">
        <v>135</v>
      </c>
      <c r="I13" s="818" t="s">
        <v>28</v>
      </c>
      <c r="J13" s="818" t="s">
        <v>133</v>
      </c>
      <c r="K13" s="818" t="s">
        <v>132</v>
      </c>
      <c r="L13" s="818" t="s">
        <v>131</v>
      </c>
      <c r="M13" s="818" t="s">
        <v>130</v>
      </c>
      <c r="N13" s="818" t="s">
        <v>129</v>
      </c>
      <c r="O13" s="818" t="s">
        <v>128</v>
      </c>
      <c r="P13" s="818" t="s">
        <v>127</v>
      </c>
      <c r="Q13" s="818" t="s">
        <v>126</v>
      </c>
      <c r="R13" s="818" t="s">
        <v>125</v>
      </c>
      <c r="S13" s="818" t="s">
        <v>124</v>
      </c>
      <c r="T13" s="818" t="s">
        <v>123</v>
      </c>
      <c r="U13" s="818" t="s">
        <v>122</v>
      </c>
      <c r="V13" s="818" t="s">
        <v>121</v>
      </c>
      <c r="W13" s="818" t="s">
        <v>120</v>
      </c>
      <c r="X13" s="818" t="s">
        <v>119</v>
      </c>
      <c r="Y13" s="818" t="s">
        <v>118</v>
      </c>
      <c r="Z13" s="818" t="s">
        <v>115</v>
      </c>
      <c r="AA13" s="818" t="s">
        <v>114</v>
      </c>
      <c r="AB13" s="818" t="s">
        <v>113</v>
      </c>
      <c r="AC13" s="818" t="s">
        <v>24</v>
      </c>
      <c r="AD13" s="818" t="s">
        <v>112</v>
      </c>
      <c r="AE13" s="818" t="s">
        <v>111</v>
      </c>
      <c r="AF13" s="818" t="s">
        <v>110</v>
      </c>
      <c r="AG13" s="818" t="s">
        <v>109</v>
      </c>
      <c r="AH13" s="818" t="s">
        <v>108</v>
      </c>
      <c r="AI13" s="818" t="s">
        <v>107</v>
      </c>
      <c r="AJ13" s="818" t="s">
        <v>106</v>
      </c>
      <c r="AK13" s="818" t="s">
        <v>105</v>
      </c>
      <c r="AL13" s="818" t="s">
        <v>104</v>
      </c>
      <c r="AM13" s="818" t="s">
        <v>64</v>
      </c>
      <c r="AN13" s="818" t="s">
        <v>103</v>
      </c>
      <c r="AO13" s="818"/>
      <c r="AP13" s="818"/>
      <c r="AQ13" s="818" t="s">
        <v>103</v>
      </c>
      <c r="AR13" s="818" t="s">
        <v>52</v>
      </c>
      <c r="AS13" s="818" t="s">
        <v>102</v>
      </c>
      <c r="AT13" s="820"/>
      <c r="AV13" s="822" t="s">
        <v>101</v>
      </c>
      <c r="AW13" s="822" t="s">
        <v>837</v>
      </c>
    </row>
    <row r="14" spans="1:50" ht="25.5">
      <c r="A14" s="821" t="s">
        <v>99</v>
      </c>
      <c r="B14" s="820"/>
      <c r="C14" s="818" t="s">
        <v>63</v>
      </c>
      <c r="D14" s="818" t="s">
        <v>98</v>
      </c>
      <c r="E14" s="818" t="s">
        <v>97</v>
      </c>
      <c r="F14" s="818" t="s">
        <v>96</v>
      </c>
      <c r="G14" s="823" t="s">
        <v>95</v>
      </c>
      <c r="H14" s="823" t="s">
        <v>94</v>
      </c>
      <c r="I14" s="818" t="s">
        <v>93</v>
      </c>
      <c r="J14" s="818" t="s">
        <v>91</v>
      </c>
      <c r="K14" s="823" t="s">
        <v>90</v>
      </c>
      <c r="L14" s="823" t="s">
        <v>89</v>
      </c>
      <c r="M14" s="823" t="s">
        <v>82</v>
      </c>
      <c r="N14" s="823" t="s">
        <v>88</v>
      </c>
      <c r="O14" s="818" t="s">
        <v>87</v>
      </c>
      <c r="P14" s="818" t="s">
        <v>86</v>
      </c>
      <c r="Q14" s="824" t="s">
        <v>85</v>
      </c>
      <c r="R14" s="824" t="s">
        <v>83</v>
      </c>
      <c r="S14" s="823" t="s">
        <v>84</v>
      </c>
      <c r="T14" s="823" t="s">
        <v>83</v>
      </c>
      <c r="U14" s="818" t="s">
        <v>82</v>
      </c>
      <c r="V14" s="818" t="s">
        <v>81</v>
      </c>
      <c r="W14" s="818" t="s">
        <v>80</v>
      </c>
      <c r="X14" s="818" t="s">
        <v>79</v>
      </c>
      <c r="Y14" s="818" t="s">
        <v>78</v>
      </c>
      <c r="Z14" s="823" t="s">
        <v>77</v>
      </c>
      <c r="AA14" s="823" t="s">
        <v>76</v>
      </c>
      <c r="AB14" s="818" t="s">
        <v>75</v>
      </c>
      <c r="AC14" s="818" t="s">
        <v>74</v>
      </c>
      <c r="AD14" s="823" t="s">
        <v>73</v>
      </c>
      <c r="AE14" s="818" t="s">
        <v>72</v>
      </c>
      <c r="AF14" s="818" t="s">
        <v>71</v>
      </c>
      <c r="AG14" s="818" t="s">
        <v>70</v>
      </c>
      <c r="AH14" s="818" t="s">
        <v>69</v>
      </c>
      <c r="AI14" s="818" t="s">
        <v>69</v>
      </c>
      <c r="AJ14" s="823" t="s">
        <v>68</v>
      </c>
      <c r="AK14" s="818" t="s">
        <v>67</v>
      </c>
      <c r="AL14" s="823" t="s">
        <v>66</v>
      </c>
      <c r="AM14" s="92" t="s">
        <v>54</v>
      </c>
      <c r="AN14" s="818" t="s">
        <v>63</v>
      </c>
      <c r="AO14" s="818" t="s">
        <v>65</v>
      </c>
      <c r="AP14" s="818" t="s">
        <v>64</v>
      </c>
      <c r="AQ14" s="818" t="s">
        <v>63</v>
      </c>
      <c r="AR14" s="818" t="s">
        <v>62</v>
      </c>
      <c r="AS14" s="818" t="s">
        <v>61</v>
      </c>
      <c r="AT14" s="818"/>
      <c r="AV14" s="822" t="s">
        <v>60</v>
      </c>
      <c r="AW14" s="818" t="s">
        <v>62</v>
      </c>
    </row>
    <row r="15" spans="1:50" s="739" customFormat="1">
      <c r="A15" s="821" t="s">
        <v>58</v>
      </c>
      <c r="B15" s="820"/>
      <c r="C15" s="818" t="s">
        <v>57</v>
      </c>
      <c r="D15" s="819">
        <v>13.01</v>
      </c>
      <c r="E15" s="819">
        <v>13.02</v>
      </c>
      <c r="F15" s="819">
        <v>13.03</v>
      </c>
      <c r="G15" s="819">
        <v>13.04</v>
      </c>
      <c r="H15" s="819">
        <v>13.05</v>
      </c>
      <c r="I15" s="819">
        <v>13.06</v>
      </c>
      <c r="J15" s="819">
        <v>13.07</v>
      </c>
      <c r="K15" s="819">
        <v>13.08</v>
      </c>
      <c r="L15" s="819">
        <v>13.09</v>
      </c>
      <c r="M15" s="819">
        <v>13.1</v>
      </c>
      <c r="N15" s="819">
        <v>13.11</v>
      </c>
      <c r="O15" s="819">
        <v>13.12</v>
      </c>
      <c r="P15" s="819">
        <v>13.13</v>
      </c>
      <c r="Q15" s="819">
        <v>13.14</v>
      </c>
      <c r="R15" s="819">
        <v>13.15</v>
      </c>
      <c r="S15" s="819">
        <v>13.16</v>
      </c>
      <c r="T15" s="819">
        <v>13.17</v>
      </c>
      <c r="U15" s="819">
        <v>13.18</v>
      </c>
      <c r="V15" s="819">
        <v>13.19</v>
      </c>
      <c r="W15" s="819">
        <v>13.2</v>
      </c>
      <c r="X15" s="819">
        <v>13.21</v>
      </c>
      <c r="Y15" s="819">
        <v>13.22</v>
      </c>
      <c r="Z15" s="819">
        <v>14.01</v>
      </c>
      <c r="AA15" s="819">
        <v>14.02</v>
      </c>
      <c r="AB15" s="819">
        <v>14.03</v>
      </c>
      <c r="AC15" s="819">
        <v>14.04</v>
      </c>
      <c r="AD15" s="819">
        <v>14.05</v>
      </c>
      <c r="AE15" s="819">
        <v>14.06</v>
      </c>
      <c r="AF15" s="819">
        <v>14.07</v>
      </c>
      <c r="AG15" s="819">
        <v>14.08</v>
      </c>
      <c r="AH15" s="819">
        <v>14.09</v>
      </c>
      <c r="AI15" s="819">
        <v>14.1</v>
      </c>
      <c r="AJ15" s="819">
        <v>14.11</v>
      </c>
      <c r="AK15" s="819">
        <v>14.12</v>
      </c>
      <c r="AL15" s="819">
        <v>14.13</v>
      </c>
      <c r="AM15" s="92"/>
      <c r="AN15" s="92" t="s">
        <v>53</v>
      </c>
      <c r="AO15" s="92" t="s">
        <v>55</v>
      </c>
      <c r="AP15" s="92" t="s">
        <v>54</v>
      </c>
      <c r="AQ15" s="92" t="s">
        <v>53</v>
      </c>
      <c r="AR15" s="92" t="str">
        <f>IF(AR22&lt;0,"SURPLUS","DEFICIENCY")</f>
        <v>DEFICIENCY</v>
      </c>
      <c r="AS15" s="92" t="str">
        <f>IF(AR22&lt;0,"DECREASE","INCREASE")</f>
        <v>INCREASE</v>
      </c>
      <c r="AT15" s="818"/>
      <c r="AU15" s="796"/>
      <c r="AV15" s="92" t="s">
        <v>52</v>
      </c>
      <c r="AW15" s="92" t="str">
        <f>IF(AW22&lt;0,"SURPLUS","DEFICIENCY")</f>
        <v>DEFICIENCY</v>
      </c>
    </row>
    <row r="16" spans="1:50">
      <c r="A16" s="817" t="s">
        <v>51</v>
      </c>
      <c r="B16" s="815"/>
      <c r="C16" s="816"/>
      <c r="D16" s="815"/>
      <c r="E16" s="815"/>
      <c r="F16" s="815"/>
      <c r="G16" s="815"/>
      <c r="H16" s="815"/>
      <c r="I16" s="815"/>
      <c r="J16" s="815"/>
      <c r="K16" s="815"/>
      <c r="L16" s="815"/>
      <c r="M16" s="815"/>
      <c r="N16" s="815"/>
      <c r="O16" s="815"/>
      <c r="P16" s="815"/>
      <c r="Q16" s="815"/>
      <c r="R16" s="815"/>
      <c r="S16" s="815"/>
      <c r="T16" s="815"/>
      <c r="U16" s="815"/>
      <c r="V16" s="815"/>
      <c r="W16" s="815"/>
      <c r="X16" s="815"/>
      <c r="Y16" s="815"/>
      <c r="Z16" s="815"/>
      <c r="AA16" s="815"/>
      <c r="AB16" s="815"/>
      <c r="AC16" s="815"/>
      <c r="AD16" s="815"/>
      <c r="AE16" s="815"/>
      <c r="AF16" s="815"/>
      <c r="AG16" s="815"/>
      <c r="AH16" s="815"/>
      <c r="AI16" s="815"/>
      <c r="AJ16" s="815"/>
      <c r="AK16" s="815"/>
      <c r="AL16" s="815"/>
      <c r="AM16" s="815"/>
      <c r="AN16" s="815"/>
      <c r="AO16" s="815"/>
      <c r="AP16" s="815"/>
      <c r="AQ16" s="815"/>
      <c r="AR16" s="815"/>
      <c r="AS16" s="815"/>
      <c r="AT16" s="815"/>
      <c r="AU16" s="815"/>
      <c r="AV16" s="815"/>
      <c r="AW16" s="815"/>
      <c r="AX16" s="815"/>
    </row>
    <row r="17" spans="1:50">
      <c r="A17" s="756">
        <v>1</v>
      </c>
      <c r="B17" s="769" t="s">
        <v>50</v>
      </c>
      <c r="C17" s="801"/>
      <c r="D17" s="798"/>
      <c r="E17" s="798"/>
      <c r="F17" s="798"/>
      <c r="G17" s="798"/>
      <c r="H17" s="798"/>
      <c r="I17" s="798"/>
      <c r="K17" s="814"/>
      <c r="L17" s="798"/>
      <c r="M17" s="798"/>
      <c r="N17" s="798"/>
      <c r="P17" s="798"/>
      <c r="S17" s="798"/>
      <c r="Z17" s="798"/>
      <c r="AC17" s="769"/>
      <c r="AD17" s="798"/>
      <c r="AE17" s="798"/>
      <c r="AF17" s="798"/>
      <c r="AG17" s="798"/>
      <c r="AH17" s="798"/>
      <c r="AI17" s="798"/>
      <c r="AJ17" s="798"/>
      <c r="AK17" s="798"/>
      <c r="AL17" s="798"/>
      <c r="AN17" s="798"/>
      <c r="AS17" s="739"/>
      <c r="AU17" s="813" t="s">
        <v>49</v>
      </c>
      <c r="AX17" s="813" t="s">
        <v>49</v>
      </c>
    </row>
    <row r="18" spans="1:50" ht="13.5">
      <c r="A18" s="756">
        <f t="shared" ref="A18:A63" si="0">A17+1</f>
        <v>2</v>
      </c>
      <c r="B18" s="769" t="s">
        <v>47</v>
      </c>
      <c r="C18" s="764">
        <v>2146048308.1900001</v>
      </c>
      <c r="D18" s="764">
        <v>-18636297.520117842</v>
      </c>
      <c r="E18" s="764">
        <v>28308135</v>
      </c>
      <c r="F18" s="764">
        <v>-192533060.51000002</v>
      </c>
      <c r="G18" s="764">
        <v>0</v>
      </c>
      <c r="H18" s="764">
        <v>0</v>
      </c>
      <c r="I18" s="764">
        <v>0</v>
      </c>
      <c r="J18" s="764"/>
      <c r="K18" s="764">
        <v>0</v>
      </c>
      <c r="L18" s="764"/>
      <c r="M18" s="764">
        <v>0</v>
      </c>
      <c r="N18" s="764">
        <v>0</v>
      </c>
      <c r="O18" s="764">
        <v>0</v>
      </c>
      <c r="P18" s="764">
        <v>0</v>
      </c>
      <c r="Q18" s="764">
        <v>0</v>
      </c>
      <c r="R18" s="764">
        <v>0</v>
      </c>
      <c r="S18" s="764">
        <v>0</v>
      </c>
      <c r="T18" s="764">
        <v>0</v>
      </c>
      <c r="U18" s="764">
        <v>0</v>
      </c>
      <c r="V18" s="764">
        <v>0</v>
      </c>
      <c r="W18" s="764">
        <v>0</v>
      </c>
      <c r="X18" s="764">
        <v>0</v>
      </c>
      <c r="Y18" s="764">
        <v>0</v>
      </c>
      <c r="Z18" s="764"/>
      <c r="AA18" s="764">
        <v>0</v>
      </c>
      <c r="AB18" s="764"/>
      <c r="AC18" s="764">
        <v>0</v>
      </c>
      <c r="AD18" s="764">
        <v>0</v>
      </c>
      <c r="AE18" s="764">
        <v>0</v>
      </c>
      <c r="AF18" s="764"/>
      <c r="AG18" s="764"/>
      <c r="AH18" s="764"/>
      <c r="AI18" s="764"/>
      <c r="AJ18" s="764"/>
      <c r="AK18" s="764"/>
      <c r="AL18" s="764"/>
      <c r="AM18" s="764">
        <f>SUM(D18:AL18)</f>
        <v>-182861223.03011787</v>
      </c>
      <c r="AN18" s="764">
        <f>AM18+C18</f>
        <v>1963187085.1598821</v>
      </c>
      <c r="AO18" s="764">
        <f>C18</f>
        <v>2146048308.1900001</v>
      </c>
      <c r="AP18" s="764">
        <f>+AM18</f>
        <v>-182861223.03011787</v>
      </c>
      <c r="AQ18" s="764">
        <f>SUM(AO18:AP18)</f>
        <v>1963187085.1598821</v>
      </c>
      <c r="AR18" s="812">
        <v>143626923.1907548</v>
      </c>
      <c r="AS18" s="812">
        <f>SUM(AQ18:AR18)</f>
        <v>2106814008.350637</v>
      </c>
      <c r="AU18" s="811">
        <f>AR18/AQ18</f>
        <v>7.3160079483233664E-2</v>
      </c>
      <c r="AV18" s="810">
        <v>75751222</v>
      </c>
      <c r="AW18" s="810">
        <f>AR18-AV18</f>
        <v>67875701.190754801</v>
      </c>
      <c r="AX18" s="809">
        <f>AW18/AQ18</f>
        <v>3.4574239869363747E-2</v>
      </c>
    </row>
    <row r="19" spans="1:50" ht="13.5">
      <c r="A19" s="756">
        <f t="shared" si="0"/>
        <v>3</v>
      </c>
      <c r="B19" s="769" t="s">
        <v>46</v>
      </c>
      <c r="C19" s="757">
        <v>324382.2</v>
      </c>
      <c r="D19" s="757">
        <v>146.57999999999811</v>
      </c>
      <c r="E19" s="757">
        <v>5118</v>
      </c>
      <c r="F19" s="757">
        <v>-13257.679999999998</v>
      </c>
      <c r="G19" s="757"/>
      <c r="H19" s="757"/>
      <c r="I19" s="757"/>
      <c r="J19" s="757"/>
      <c r="K19" s="757"/>
      <c r="L19" s="757"/>
      <c r="M19" s="757"/>
      <c r="N19" s="757"/>
      <c r="O19" s="757"/>
      <c r="P19" s="757"/>
      <c r="Q19" s="757"/>
      <c r="R19" s="757"/>
      <c r="S19" s="757"/>
      <c r="T19" s="757"/>
      <c r="U19" s="757"/>
      <c r="V19" s="757"/>
      <c r="W19" s="757"/>
      <c r="X19" s="757"/>
      <c r="Y19" s="757"/>
      <c r="Z19" s="757"/>
      <c r="AA19" s="757"/>
      <c r="AB19" s="757"/>
      <c r="AC19" s="757"/>
      <c r="AD19" s="757"/>
      <c r="AE19" s="757"/>
      <c r="AF19" s="757"/>
      <c r="AG19" s="757"/>
      <c r="AH19" s="757"/>
      <c r="AI19" s="757"/>
      <c r="AJ19" s="757"/>
      <c r="AK19" s="757"/>
      <c r="AL19" s="757"/>
      <c r="AM19" s="757">
        <f>SUM(D19:AL19)</f>
        <v>-7993.1</v>
      </c>
      <c r="AN19" s="757">
        <f>AM19+C19</f>
        <v>316389.10000000003</v>
      </c>
      <c r="AO19" s="762">
        <f>C19</f>
        <v>324382.2</v>
      </c>
      <c r="AP19" s="757">
        <f>+AM19</f>
        <v>-7993.1</v>
      </c>
      <c r="AQ19" s="757">
        <f>SUM(AO19:AP19)</f>
        <v>316389.10000000003</v>
      </c>
      <c r="AR19" s="760">
        <v>405142.80924519908</v>
      </c>
      <c r="AS19" s="760">
        <f>SUM(AQ19:AR19)</f>
        <v>721531.90924519906</v>
      </c>
      <c r="AV19" s="771">
        <v>-22000</v>
      </c>
      <c r="AW19" s="785">
        <f>AR19-AV19</f>
        <v>427142.80924519908</v>
      </c>
    </row>
    <row r="20" spans="1:50" ht="13.5">
      <c r="A20" s="756">
        <f t="shared" si="0"/>
        <v>4</v>
      </c>
      <c r="B20" s="769" t="s">
        <v>45</v>
      </c>
      <c r="C20" s="757">
        <v>201125741.739999</v>
      </c>
      <c r="D20" s="757"/>
      <c r="E20" s="757"/>
      <c r="F20" s="757"/>
      <c r="G20" s="757"/>
      <c r="H20" s="757"/>
      <c r="I20" s="757"/>
      <c r="J20" s="757"/>
      <c r="K20" s="757"/>
      <c r="L20" s="757"/>
      <c r="M20" s="757"/>
      <c r="N20" s="757"/>
      <c r="O20" s="757"/>
      <c r="P20" s="757"/>
      <c r="Q20" s="757"/>
      <c r="R20" s="757"/>
      <c r="S20" s="757"/>
      <c r="T20" s="757"/>
      <c r="U20" s="757"/>
      <c r="V20" s="757"/>
      <c r="W20" s="757"/>
      <c r="X20" s="757"/>
      <c r="Y20" s="757"/>
      <c r="Z20" s="760">
        <v>-170981384.21897274</v>
      </c>
      <c r="AA20" s="757"/>
      <c r="AB20" s="757"/>
      <c r="AC20" s="757"/>
      <c r="AD20" s="757"/>
      <c r="AE20" s="757"/>
      <c r="AF20" s="757"/>
      <c r="AG20" s="757"/>
      <c r="AH20" s="757"/>
      <c r="AI20" s="757"/>
      <c r="AJ20" s="757"/>
      <c r="AK20" s="757"/>
      <c r="AL20" s="757"/>
      <c r="AM20" s="760">
        <f>SUM(D20:AL20)</f>
        <v>-170981384.21897274</v>
      </c>
      <c r="AN20" s="760">
        <f>AM20+C20</f>
        <v>30144357.521026254</v>
      </c>
      <c r="AO20" s="762">
        <f>C20</f>
        <v>201125741.739999</v>
      </c>
      <c r="AP20" s="760">
        <f>+AM20</f>
        <v>-170981384.21897274</v>
      </c>
      <c r="AQ20" s="760">
        <f>SUM(AO20:AP20)</f>
        <v>30144357.521026254</v>
      </c>
      <c r="AR20" s="762"/>
      <c r="AS20" s="772">
        <f>SUM(AQ20:AR20)</f>
        <v>30144357.521026254</v>
      </c>
      <c r="AT20" s="757"/>
      <c r="AV20" s="771"/>
      <c r="AW20" s="785">
        <f>AR20-AV20</f>
        <v>0</v>
      </c>
    </row>
    <row r="21" spans="1:50" ht="14.25" thickBot="1">
      <c r="A21" s="756">
        <f t="shared" si="0"/>
        <v>5</v>
      </c>
      <c r="B21" s="769" t="s">
        <v>44</v>
      </c>
      <c r="C21" s="757">
        <v>47841338.950000003</v>
      </c>
      <c r="D21" s="758">
        <v>-10225162.969999999</v>
      </c>
      <c r="E21" s="764"/>
      <c r="F21" s="758">
        <v>-278052.84999999986</v>
      </c>
      <c r="G21" s="758"/>
      <c r="H21" s="758" t="s">
        <v>15</v>
      </c>
      <c r="I21" s="758"/>
      <c r="J21" s="758"/>
      <c r="K21" s="758"/>
      <c r="L21" s="758"/>
      <c r="M21" s="758"/>
      <c r="N21" s="758"/>
      <c r="O21" s="758"/>
      <c r="P21" s="758"/>
      <c r="Q21" s="758"/>
      <c r="R21" s="758"/>
      <c r="S21" s="758"/>
      <c r="T21" s="758"/>
      <c r="U21" s="758"/>
      <c r="V21" s="758"/>
      <c r="W21" s="758"/>
      <c r="X21" s="758"/>
      <c r="Y21" s="758"/>
      <c r="Z21" s="789">
        <v>36348495.210696146</v>
      </c>
      <c r="AA21" s="758"/>
      <c r="AB21" s="758"/>
      <c r="AC21" s="758"/>
      <c r="AD21" s="758"/>
      <c r="AE21" s="758"/>
      <c r="AF21" s="758"/>
      <c r="AG21" s="758"/>
      <c r="AH21" s="758"/>
      <c r="AI21" s="758"/>
      <c r="AJ21" s="758"/>
      <c r="AK21" s="758"/>
      <c r="AL21" s="758"/>
      <c r="AM21" s="789">
        <f>SUM(D21:AL21)</f>
        <v>25845279.390696146</v>
      </c>
      <c r="AN21" s="789">
        <f>AM21+C21</f>
        <v>73686618.340696156</v>
      </c>
      <c r="AO21" s="808">
        <f>C21</f>
        <v>47841338.950000003</v>
      </c>
      <c r="AP21" s="789">
        <f>+AM21</f>
        <v>25845279.390696146</v>
      </c>
      <c r="AQ21" s="789">
        <f>SUM(AO21:AP21)</f>
        <v>73686618.340696156</v>
      </c>
      <c r="AR21" s="808"/>
      <c r="AS21" s="807">
        <f>SUM(AQ21:AR21)</f>
        <v>73686618.340696156</v>
      </c>
      <c r="AT21" s="757"/>
      <c r="AV21" s="806"/>
      <c r="AW21" s="785">
        <f>AR21-AV21</f>
        <v>0</v>
      </c>
    </row>
    <row r="22" spans="1:50" ht="20.25" customHeight="1" thickBot="1">
      <c r="A22" s="756">
        <f t="shared" si="0"/>
        <v>6</v>
      </c>
      <c r="B22" s="769" t="s">
        <v>43</v>
      </c>
      <c r="C22" s="784">
        <f t="shared" ref="C22:I22" si="1">SUM(C18:C21)</f>
        <v>2395339771.079999</v>
      </c>
      <c r="D22" s="784">
        <f t="shared" si="1"/>
        <v>-28861313.910117842</v>
      </c>
      <c r="E22" s="784">
        <f t="shared" si="1"/>
        <v>28313253</v>
      </c>
      <c r="F22" s="784">
        <f t="shared" si="1"/>
        <v>-192824371.04000002</v>
      </c>
      <c r="G22" s="784">
        <f t="shared" si="1"/>
        <v>0</v>
      </c>
      <c r="H22" s="784">
        <f t="shared" si="1"/>
        <v>0</v>
      </c>
      <c r="I22" s="784">
        <f t="shared" si="1"/>
        <v>0</v>
      </c>
      <c r="J22" s="784"/>
      <c r="K22" s="784">
        <f t="shared" ref="K22:AA22" si="2">SUM(K18:K21)</f>
        <v>0</v>
      </c>
      <c r="L22" s="784">
        <f t="shared" si="2"/>
        <v>0</v>
      </c>
      <c r="M22" s="784">
        <f t="shared" si="2"/>
        <v>0</v>
      </c>
      <c r="N22" s="784">
        <f t="shared" si="2"/>
        <v>0</v>
      </c>
      <c r="O22" s="784">
        <f t="shared" si="2"/>
        <v>0</v>
      </c>
      <c r="P22" s="784">
        <f t="shared" si="2"/>
        <v>0</v>
      </c>
      <c r="Q22" s="784">
        <f t="shared" si="2"/>
        <v>0</v>
      </c>
      <c r="R22" s="784">
        <f t="shared" si="2"/>
        <v>0</v>
      </c>
      <c r="S22" s="784">
        <f t="shared" si="2"/>
        <v>0</v>
      </c>
      <c r="T22" s="784">
        <f t="shared" si="2"/>
        <v>0</v>
      </c>
      <c r="U22" s="784">
        <f t="shared" si="2"/>
        <v>0</v>
      </c>
      <c r="V22" s="784">
        <f t="shared" si="2"/>
        <v>0</v>
      </c>
      <c r="W22" s="784">
        <f t="shared" si="2"/>
        <v>0</v>
      </c>
      <c r="X22" s="784">
        <f t="shared" si="2"/>
        <v>0</v>
      </c>
      <c r="Y22" s="784">
        <f t="shared" si="2"/>
        <v>0</v>
      </c>
      <c r="Z22" s="781">
        <f t="shared" si="2"/>
        <v>-134632889.00827658</v>
      </c>
      <c r="AA22" s="784">
        <f t="shared" si="2"/>
        <v>0</v>
      </c>
      <c r="AB22" s="784"/>
      <c r="AC22" s="784">
        <f t="shared" ref="AC22:AL22" si="3">SUM(AC18:AC21)</f>
        <v>0</v>
      </c>
      <c r="AD22" s="784">
        <f t="shared" si="3"/>
        <v>0</v>
      </c>
      <c r="AE22" s="784">
        <f t="shared" si="3"/>
        <v>0</v>
      </c>
      <c r="AF22" s="784">
        <f t="shared" si="3"/>
        <v>0</v>
      </c>
      <c r="AG22" s="784">
        <f t="shared" si="3"/>
        <v>0</v>
      </c>
      <c r="AH22" s="784">
        <f t="shared" si="3"/>
        <v>0</v>
      </c>
      <c r="AI22" s="784">
        <f t="shared" si="3"/>
        <v>0</v>
      </c>
      <c r="AJ22" s="784">
        <f t="shared" si="3"/>
        <v>0</v>
      </c>
      <c r="AK22" s="784">
        <f t="shared" si="3"/>
        <v>0</v>
      </c>
      <c r="AL22" s="784">
        <f t="shared" si="3"/>
        <v>0</v>
      </c>
      <c r="AM22" s="781">
        <f>SUM(D22:AL22)</f>
        <v>-328005320.95839441</v>
      </c>
      <c r="AN22" s="781">
        <f>AM22+C22</f>
        <v>2067334450.1216044</v>
      </c>
      <c r="AO22" s="783">
        <f>SUM(AO18:AO21)</f>
        <v>2395339771.079999</v>
      </c>
      <c r="AP22" s="781">
        <f>SUM(AP18:AP21)</f>
        <v>-328005320.95839441</v>
      </c>
      <c r="AQ22" s="781">
        <f>SUM(AQ18:AQ21)</f>
        <v>2067334450.1216042</v>
      </c>
      <c r="AR22" s="805">
        <f>SUM(AR18:AR21)</f>
        <v>144032066</v>
      </c>
      <c r="AS22" s="781">
        <f>SUM(AS18:AS21)</f>
        <v>2211366516.1216049</v>
      </c>
      <c r="AT22" s="758"/>
      <c r="AU22" s="804">
        <f>AR22/AQ22</f>
        <v>6.9670423182629101E-2</v>
      </c>
      <c r="AV22" s="778">
        <f>SUM(AV18:AV21)</f>
        <v>75729222</v>
      </c>
      <c r="AW22" s="803">
        <f>SUM(AW18:AW21)</f>
        <v>68302844</v>
      </c>
      <c r="AX22" s="802">
        <f>AW22/AQ22</f>
        <v>3.3039087601903168E-2</v>
      </c>
    </row>
    <row r="23" spans="1:50">
      <c r="A23" s="756">
        <f t="shared" si="0"/>
        <v>7</v>
      </c>
      <c r="C23" s="757"/>
      <c r="D23" s="801" t="s">
        <v>15</v>
      </c>
      <c r="E23" s="801" t="s">
        <v>15</v>
      </c>
      <c r="F23" s="801"/>
      <c r="G23" s="801" t="s">
        <v>15</v>
      </c>
      <c r="H23" s="801" t="s">
        <v>15</v>
      </c>
      <c r="I23" s="801"/>
      <c r="J23" s="801"/>
      <c r="K23" s="801" t="s">
        <v>15</v>
      </c>
      <c r="L23" s="801"/>
      <c r="M23" s="801" t="s">
        <v>15</v>
      </c>
      <c r="N23" s="801" t="s">
        <v>15</v>
      </c>
      <c r="O23" s="801"/>
      <c r="P23" s="801" t="s">
        <v>15</v>
      </c>
      <c r="Q23" s="801"/>
      <c r="R23" s="801"/>
      <c r="S23" s="801" t="s">
        <v>15</v>
      </c>
      <c r="T23" s="801" t="s">
        <v>15</v>
      </c>
      <c r="U23" s="801" t="s">
        <v>15</v>
      </c>
      <c r="V23" s="801"/>
      <c r="W23" s="801"/>
      <c r="X23" s="801"/>
      <c r="Y23" s="801"/>
      <c r="Z23" s="801"/>
      <c r="AA23" s="801" t="s">
        <v>15</v>
      </c>
      <c r="AB23" s="801"/>
      <c r="AC23" s="801"/>
      <c r="AD23" s="801"/>
      <c r="AE23" s="801"/>
      <c r="AF23" s="801"/>
      <c r="AG23" s="801"/>
      <c r="AH23" s="801"/>
      <c r="AI23" s="801"/>
      <c r="AJ23" s="801"/>
      <c r="AK23" s="801"/>
      <c r="AL23" s="801" t="s">
        <v>15</v>
      </c>
      <c r="AM23" s="801"/>
      <c r="AN23" s="801"/>
      <c r="AO23" s="762"/>
      <c r="AP23" s="801"/>
      <c r="AQ23" s="801"/>
      <c r="AR23" s="762"/>
      <c r="AS23" s="762"/>
      <c r="AT23" s="758"/>
      <c r="AV23" s="762"/>
      <c r="AW23" s="762"/>
    </row>
    <row r="24" spans="1:50">
      <c r="A24" s="756">
        <f t="shared" si="0"/>
        <v>8</v>
      </c>
      <c r="B24" s="769" t="s">
        <v>42</v>
      </c>
      <c r="C24" s="757"/>
      <c r="D24" s="801"/>
      <c r="E24" s="801"/>
      <c r="F24" s="801"/>
      <c r="G24" s="801"/>
      <c r="H24" s="801"/>
      <c r="I24" s="801"/>
      <c r="J24" s="801"/>
      <c r="K24" s="801"/>
      <c r="L24" s="801"/>
      <c r="M24" s="801"/>
      <c r="N24" s="801"/>
      <c r="O24" s="801"/>
      <c r="P24" s="801"/>
      <c r="Q24" s="801"/>
      <c r="R24" s="801"/>
      <c r="S24" s="801"/>
      <c r="T24" s="801"/>
      <c r="U24" s="801"/>
      <c r="V24" s="801"/>
      <c r="W24" s="801"/>
      <c r="X24" s="801"/>
      <c r="Y24" s="801"/>
      <c r="Z24" s="801"/>
      <c r="AA24" s="801"/>
      <c r="AB24" s="801"/>
      <c r="AC24" s="801"/>
      <c r="AD24" s="801"/>
      <c r="AE24" s="801"/>
      <c r="AF24" s="801"/>
      <c r="AG24" s="801"/>
      <c r="AH24" s="801"/>
      <c r="AI24" s="801"/>
      <c r="AJ24" s="801"/>
      <c r="AK24" s="801"/>
      <c r="AL24" s="801"/>
      <c r="AM24" s="801"/>
      <c r="AN24" s="801"/>
      <c r="AO24" s="762"/>
      <c r="AP24" s="801"/>
      <c r="AQ24" s="801"/>
      <c r="AR24" s="762"/>
      <c r="AS24" s="762"/>
      <c r="AT24" s="801"/>
      <c r="AV24" s="762"/>
      <c r="AW24" s="762"/>
    </row>
    <row r="25" spans="1:50">
      <c r="A25" s="756">
        <f t="shared" si="0"/>
        <v>9</v>
      </c>
      <c r="C25" s="790"/>
      <c r="AO25" s="762"/>
      <c r="AR25" s="762"/>
      <c r="AS25" s="762"/>
      <c r="AT25" s="801"/>
      <c r="AV25" s="762"/>
      <c r="AW25" s="762"/>
    </row>
    <row r="26" spans="1:50">
      <c r="A26" s="756">
        <f t="shared" si="0"/>
        <v>10</v>
      </c>
      <c r="B26" s="769" t="s">
        <v>41</v>
      </c>
      <c r="C26" s="757"/>
      <c r="D26" s="801"/>
      <c r="E26" s="801"/>
      <c r="F26" s="801"/>
      <c r="G26" s="801"/>
      <c r="H26" s="801"/>
      <c r="I26" s="801"/>
      <c r="J26" s="801"/>
      <c r="K26" s="801"/>
      <c r="L26" s="801"/>
      <c r="M26" s="801"/>
      <c r="N26" s="801"/>
      <c r="O26" s="801"/>
      <c r="P26" s="801"/>
      <c r="Q26" s="801"/>
      <c r="R26" s="801"/>
      <c r="S26" s="801"/>
      <c r="T26" s="801"/>
      <c r="U26" s="801"/>
      <c r="V26" s="801"/>
      <c r="W26" s="801"/>
      <c r="X26" s="801"/>
      <c r="Y26" s="801"/>
      <c r="Z26" s="801"/>
      <c r="AA26" s="801"/>
      <c r="AB26" s="801"/>
      <c r="AC26" s="801"/>
      <c r="AD26" s="801"/>
      <c r="AE26" s="801"/>
      <c r="AF26" s="801"/>
      <c r="AG26" s="801"/>
      <c r="AH26" s="801"/>
      <c r="AI26" s="801"/>
      <c r="AJ26" s="801"/>
      <c r="AK26" s="801"/>
      <c r="AL26" s="801"/>
      <c r="AM26" s="801"/>
      <c r="AN26" s="801"/>
      <c r="AO26" s="762"/>
      <c r="AP26" s="801"/>
      <c r="AQ26" s="801"/>
      <c r="AR26" s="762"/>
      <c r="AS26" s="762"/>
      <c r="AV26" s="762"/>
      <c r="AW26" s="762"/>
    </row>
    <row r="27" spans="1:50" ht="13.5">
      <c r="A27" s="756">
        <f t="shared" si="0"/>
        <v>11</v>
      </c>
      <c r="B27" s="769" t="s">
        <v>40</v>
      </c>
      <c r="C27" s="757">
        <v>235002886.5</v>
      </c>
      <c r="D27" s="757">
        <v>0</v>
      </c>
      <c r="E27" s="757"/>
      <c r="F27" s="757"/>
      <c r="G27" s="757">
        <v>0</v>
      </c>
      <c r="H27" s="757">
        <v>0</v>
      </c>
      <c r="I27" s="757">
        <v>0</v>
      </c>
      <c r="J27" s="757"/>
      <c r="K27" s="757">
        <v>0</v>
      </c>
      <c r="L27" s="757"/>
      <c r="M27" s="757">
        <v>0</v>
      </c>
      <c r="N27" s="757">
        <v>0</v>
      </c>
      <c r="O27" s="757">
        <v>0</v>
      </c>
      <c r="P27" s="757">
        <v>0</v>
      </c>
      <c r="Q27" s="757">
        <v>0</v>
      </c>
      <c r="R27" s="757">
        <v>0</v>
      </c>
      <c r="S27" s="757">
        <v>0</v>
      </c>
      <c r="T27" s="757">
        <v>0</v>
      </c>
      <c r="U27" s="757">
        <v>0</v>
      </c>
      <c r="V27" s="757"/>
      <c r="W27" s="757"/>
      <c r="X27" s="757"/>
      <c r="Y27" s="757"/>
      <c r="Z27" s="760">
        <v>-30426197.167161167</v>
      </c>
      <c r="AA27" s="757">
        <v>0</v>
      </c>
      <c r="AB27" s="757"/>
      <c r="AC27" s="757">
        <v>0</v>
      </c>
      <c r="AD27" s="757">
        <v>0</v>
      </c>
      <c r="AE27" s="757"/>
      <c r="AF27" s="757"/>
      <c r="AG27" s="757"/>
      <c r="AH27" s="757"/>
      <c r="AI27" s="757"/>
      <c r="AJ27" s="757"/>
      <c r="AK27" s="757"/>
      <c r="AL27" s="757"/>
      <c r="AM27" s="760">
        <f>SUM(D27:AL27)</f>
        <v>-30426197.167161167</v>
      </c>
      <c r="AN27" s="760">
        <f>AM27+C27</f>
        <v>204576689.33283883</v>
      </c>
      <c r="AO27" s="762">
        <f>C27</f>
        <v>235002886.5</v>
      </c>
      <c r="AP27" s="760">
        <f>+AM27</f>
        <v>-30426197.167161167</v>
      </c>
      <c r="AQ27" s="760">
        <f>SUM(AO27:AP27)</f>
        <v>204576689.33283883</v>
      </c>
      <c r="AR27" s="762">
        <v>0</v>
      </c>
      <c r="AS27" s="772">
        <f>SUM(AQ27:AR27)</f>
        <v>204576689.33283883</v>
      </c>
      <c r="AT27" s="801"/>
      <c r="AV27" s="771"/>
      <c r="AW27" s="785">
        <f>AR27-AV27</f>
        <v>0</v>
      </c>
    </row>
    <row r="28" spans="1:50" ht="13.5">
      <c r="A28" s="756">
        <f t="shared" si="0"/>
        <v>12</v>
      </c>
      <c r="B28" s="769" t="s">
        <v>39</v>
      </c>
      <c r="C28" s="757">
        <v>532346459.37</v>
      </c>
      <c r="D28" s="757"/>
      <c r="E28" s="757"/>
      <c r="F28" s="757"/>
      <c r="G28" s="757"/>
      <c r="H28" s="757"/>
      <c r="I28" s="757"/>
      <c r="J28" s="757"/>
      <c r="K28" s="757"/>
      <c r="L28" s="760">
        <v>10379.814252257231</v>
      </c>
      <c r="M28" s="757"/>
      <c r="N28" s="757"/>
      <c r="O28" s="757"/>
      <c r="P28" s="757"/>
      <c r="Q28" s="757"/>
      <c r="R28" s="757"/>
      <c r="S28" s="760">
        <v>130546.64316428918</v>
      </c>
      <c r="T28" s="757"/>
      <c r="U28" s="757"/>
      <c r="V28" s="757"/>
      <c r="W28" s="757"/>
      <c r="X28" s="757"/>
      <c r="Y28" s="757"/>
      <c r="Z28" s="760">
        <v>-85865130.718824834</v>
      </c>
      <c r="AA28" s="757"/>
      <c r="AB28" s="757"/>
      <c r="AC28" s="757"/>
      <c r="AD28" s="757"/>
      <c r="AE28" s="757"/>
      <c r="AF28" s="757"/>
      <c r="AG28" s="757"/>
      <c r="AH28" s="757"/>
      <c r="AI28" s="757"/>
      <c r="AJ28" s="757"/>
      <c r="AK28" s="757"/>
      <c r="AL28" s="760">
        <v>-3572.0629161372021</v>
      </c>
      <c r="AM28" s="760">
        <f>SUM(D28:AL28)</f>
        <v>-85727776.324324414</v>
      </c>
      <c r="AN28" s="760">
        <f>AM28+C28</f>
        <v>446618683.04567558</v>
      </c>
      <c r="AO28" s="762">
        <f>C28</f>
        <v>532346459.37</v>
      </c>
      <c r="AP28" s="760">
        <f>+AM28</f>
        <v>-85727776.324324414</v>
      </c>
      <c r="AQ28" s="760">
        <f>SUM(AO28:AP28)</f>
        <v>446618683.04567558</v>
      </c>
      <c r="AR28" s="762"/>
      <c r="AS28" s="772">
        <f>SUM(AQ28:AR28)</f>
        <v>446618683.04567558</v>
      </c>
      <c r="AT28" s="764"/>
      <c r="AV28" s="771"/>
      <c r="AW28" s="785">
        <f>AR28-AV28</f>
        <v>0</v>
      </c>
    </row>
    <row r="29" spans="1:50" ht="13.5">
      <c r="A29" s="756">
        <f t="shared" si="0"/>
        <v>13</v>
      </c>
      <c r="B29" s="769" t="s">
        <v>38</v>
      </c>
      <c r="C29" s="757">
        <v>113800193.219999</v>
      </c>
      <c r="D29" s="757"/>
      <c r="E29" s="757"/>
      <c r="F29" s="757"/>
      <c r="G29" s="757"/>
      <c r="H29" s="757"/>
      <c r="I29" s="757"/>
      <c r="J29" s="757"/>
      <c r="K29" s="757"/>
      <c r="L29" s="757"/>
      <c r="M29" s="757"/>
      <c r="N29" s="757"/>
      <c r="O29" s="757"/>
      <c r="P29" s="757"/>
      <c r="Q29" s="757"/>
      <c r="R29" s="757"/>
      <c r="S29" s="757"/>
      <c r="T29" s="757"/>
      <c r="U29" s="757"/>
      <c r="V29" s="757"/>
      <c r="W29" s="757"/>
      <c r="X29" s="757"/>
      <c r="Y29" s="757"/>
      <c r="Z29" s="760">
        <v>-5239435.2907644957</v>
      </c>
      <c r="AA29" s="757"/>
      <c r="AB29" s="757"/>
      <c r="AC29" s="757"/>
      <c r="AD29" s="757"/>
      <c r="AE29" s="757">
        <v>0</v>
      </c>
      <c r="AF29" s="757"/>
      <c r="AG29" s="757"/>
      <c r="AH29" s="757"/>
      <c r="AI29" s="757"/>
      <c r="AJ29" s="757"/>
      <c r="AK29" s="757"/>
      <c r="AL29" s="757"/>
      <c r="AM29" s="760">
        <f>SUM(D29:AL29)</f>
        <v>-5239435.2907644957</v>
      </c>
      <c r="AN29" s="760">
        <f>AM29+C29</f>
        <v>108560757.9292345</v>
      </c>
      <c r="AO29" s="762">
        <f>C29</f>
        <v>113800193.219999</v>
      </c>
      <c r="AP29" s="760">
        <f>+AM29</f>
        <v>-5239435.2907644957</v>
      </c>
      <c r="AQ29" s="760">
        <f>SUM(AO29:AP29)</f>
        <v>108560757.9292345</v>
      </c>
      <c r="AR29" s="762"/>
      <c r="AS29" s="772">
        <f>SUM(AQ29:AR29)</f>
        <v>108560757.9292345</v>
      </c>
      <c r="AT29" s="757"/>
      <c r="AV29" s="771"/>
      <c r="AW29" s="785">
        <f>AR29-AV29</f>
        <v>0</v>
      </c>
    </row>
    <row r="30" spans="1:50" ht="13.5">
      <c r="A30" s="756">
        <f t="shared" si="0"/>
        <v>14</v>
      </c>
      <c r="B30" s="739" t="s">
        <v>37</v>
      </c>
      <c r="C30" s="786">
        <v>-69268219.669999897</v>
      </c>
      <c r="D30" s="786"/>
      <c r="E30" s="786"/>
      <c r="F30" s="786">
        <v>69268219.670000002</v>
      </c>
      <c r="G30" s="786"/>
      <c r="H30" s="786"/>
      <c r="I30" s="786"/>
      <c r="J30" s="786"/>
      <c r="K30" s="786"/>
      <c r="L30" s="786"/>
      <c r="M30" s="786"/>
      <c r="N30" s="786"/>
      <c r="O30" s="786"/>
      <c r="P30" s="786"/>
      <c r="Q30" s="786"/>
      <c r="R30" s="786"/>
      <c r="S30" s="786"/>
      <c r="T30" s="786"/>
      <c r="U30" s="786"/>
      <c r="V30" s="786"/>
      <c r="W30" s="786"/>
      <c r="X30" s="786"/>
      <c r="Y30" s="786"/>
      <c r="Z30" s="800"/>
      <c r="AA30" s="786"/>
      <c r="AB30" s="786"/>
      <c r="AC30" s="786"/>
      <c r="AD30" s="786"/>
      <c r="AE30" s="786"/>
      <c r="AF30" s="786"/>
      <c r="AG30" s="786"/>
      <c r="AH30" s="786"/>
      <c r="AI30" s="786"/>
      <c r="AJ30" s="786"/>
      <c r="AK30" s="786"/>
      <c r="AL30" s="786"/>
      <c r="AM30" s="786">
        <f>SUM(D30:AL30)</f>
        <v>69268219.670000002</v>
      </c>
      <c r="AN30" s="786">
        <f>AM30+C30</f>
        <v>0</v>
      </c>
      <c r="AO30" s="799">
        <f>C30</f>
        <v>-69268219.669999897</v>
      </c>
      <c r="AP30" s="786">
        <f>+AM30</f>
        <v>69268219.670000002</v>
      </c>
      <c r="AQ30" s="786">
        <f>SUM(AO30:AP30)</f>
        <v>0</v>
      </c>
      <c r="AR30" s="799"/>
      <c r="AS30" s="799">
        <f>SUM(AQ30:AR30)</f>
        <v>0</v>
      </c>
      <c r="AT30" s="757"/>
      <c r="AV30" s="799"/>
      <c r="AW30" s="785">
        <f>AR30-AV30</f>
        <v>0</v>
      </c>
    </row>
    <row r="31" spans="1:50" ht="15" customHeight="1">
      <c r="A31" s="756">
        <f t="shared" si="0"/>
        <v>15</v>
      </c>
      <c r="B31" s="769" t="s">
        <v>36</v>
      </c>
      <c r="C31" s="784">
        <f>SUM(C27:C30)</f>
        <v>811881319.41999912</v>
      </c>
      <c r="D31" s="784">
        <f>SUM(D27:D30)</f>
        <v>0</v>
      </c>
      <c r="E31" s="784">
        <f>SUM(E27:E30)</f>
        <v>0</v>
      </c>
      <c r="F31" s="784">
        <f>SUM(F26:F30)</f>
        <v>69268219.670000002</v>
      </c>
      <c r="G31" s="784">
        <f>SUM(G27:G30)</f>
        <v>0</v>
      </c>
      <c r="H31" s="784">
        <f>SUM(H27:H30)</f>
        <v>0</v>
      </c>
      <c r="I31" s="784">
        <f>SUM(I27:I30)</f>
        <v>0</v>
      </c>
      <c r="J31" s="784">
        <f>SUM(J26:J30)</f>
        <v>0</v>
      </c>
      <c r="K31" s="784">
        <f>SUM(K27:K30)</f>
        <v>0</v>
      </c>
      <c r="L31" s="781">
        <f t="shared" ref="L31:Y31" si="4">SUM(L26:L30)</f>
        <v>10379.814252257231</v>
      </c>
      <c r="M31" s="784">
        <f t="shared" si="4"/>
        <v>0</v>
      </c>
      <c r="N31" s="784">
        <f t="shared" si="4"/>
        <v>0</v>
      </c>
      <c r="O31" s="784">
        <f t="shared" si="4"/>
        <v>0</v>
      </c>
      <c r="P31" s="784">
        <f t="shared" si="4"/>
        <v>0</v>
      </c>
      <c r="Q31" s="784">
        <f t="shared" si="4"/>
        <v>0</v>
      </c>
      <c r="R31" s="784">
        <f t="shared" si="4"/>
        <v>0</v>
      </c>
      <c r="S31" s="781">
        <f t="shared" si="4"/>
        <v>130546.64316428918</v>
      </c>
      <c r="T31" s="784">
        <f t="shared" si="4"/>
        <v>0</v>
      </c>
      <c r="U31" s="784">
        <f t="shared" si="4"/>
        <v>0</v>
      </c>
      <c r="V31" s="784">
        <f t="shared" si="4"/>
        <v>0</v>
      </c>
      <c r="W31" s="784">
        <f t="shared" si="4"/>
        <v>0</v>
      </c>
      <c r="X31" s="784">
        <f t="shared" si="4"/>
        <v>0</v>
      </c>
      <c r="Y31" s="784">
        <f t="shared" si="4"/>
        <v>0</v>
      </c>
      <c r="Z31" s="781">
        <f>SUM(Z27:Z30)</f>
        <v>-121530763.1767505</v>
      </c>
      <c r="AA31" s="784">
        <f>SUM(AA26:AA30)</f>
        <v>0</v>
      </c>
      <c r="AB31" s="784">
        <f>SUM(AB26:AB30)</f>
        <v>0</v>
      </c>
      <c r="AC31" s="784">
        <f>SUM(AC26:AC30)</f>
        <v>0</v>
      </c>
      <c r="AD31" s="784">
        <f>SUM(AD27:AD30)</f>
        <v>0</v>
      </c>
      <c r="AE31" s="784">
        <f t="shared" ref="AE31:AL31" si="5">SUM(AE26:AE30)</f>
        <v>0</v>
      </c>
      <c r="AF31" s="784">
        <f t="shared" si="5"/>
        <v>0</v>
      </c>
      <c r="AG31" s="784">
        <f t="shared" si="5"/>
        <v>0</v>
      </c>
      <c r="AH31" s="784">
        <f t="shared" si="5"/>
        <v>0</v>
      </c>
      <c r="AI31" s="784">
        <f t="shared" si="5"/>
        <v>0</v>
      </c>
      <c r="AJ31" s="784">
        <f t="shared" si="5"/>
        <v>0</v>
      </c>
      <c r="AK31" s="784">
        <f t="shared" si="5"/>
        <v>0</v>
      </c>
      <c r="AL31" s="781">
        <f t="shared" si="5"/>
        <v>-3572.0629161372021</v>
      </c>
      <c r="AM31" s="781">
        <f>SUM(D31:AL31)</f>
        <v>-52125189.112250082</v>
      </c>
      <c r="AN31" s="781">
        <f>AM31+C31</f>
        <v>759756130.30774903</v>
      </c>
      <c r="AO31" s="783">
        <f>SUM(AO27:AO30)</f>
        <v>811881319.41999912</v>
      </c>
      <c r="AP31" s="781">
        <f>SUM(AP27:AP30)</f>
        <v>-52125189.112250075</v>
      </c>
      <c r="AQ31" s="781">
        <f>SUM(AQ27:AQ30)</f>
        <v>759756130.30774891</v>
      </c>
      <c r="AR31" s="783">
        <f>SUM(AR27:AR30)</f>
        <v>0</v>
      </c>
      <c r="AS31" s="781">
        <f>SUM(AS27:AS30)</f>
        <v>759756130.30774891</v>
      </c>
      <c r="AT31" s="758"/>
      <c r="AV31" s="778"/>
      <c r="AW31" s="778">
        <f>SUM(AW27:AW30)</f>
        <v>0</v>
      </c>
    </row>
    <row r="32" spans="1:50">
      <c r="A32" s="756">
        <f t="shared" si="0"/>
        <v>16</v>
      </c>
      <c r="B32" s="769"/>
      <c r="C32" s="798"/>
      <c r="D32" s="798"/>
      <c r="E32" s="798"/>
      <c r="F32" s="798"/>
      <c r="G32" s="798"/>
      <c r="H32" s="798"/>
      <c r="I32" s="798"/>
      <c r="J32" s="798"/>
      <c r="K32" s="798"/>
      <c r="L32" s="798"/>
      <c r="M32" s="798"/>
      <c r="N32" s="798"/>
      <c r="O32" s="798"/>
      <c r="P32" s="798"/>
      <c r="Q32" s="798"/>
      <c r="R32" s="798"/>
      <c r="S32" s="798"/>
      <c r="T32" s="798"/>
      <c r="U32" s="798"/>
      <c r="V32" s="798"/>
      <c r="W32" s="798"/>
      <c r="X32" s="798"/>
      <c r="Y32" s="798"/>
      <c r="Z32" s="798"/>
      <c r="AA32" s="798"/>
      <c r="AB32" s="798"/>
      <c r="AC32" s="798"/>
      <c r="AD32" s="798"/>
      <c r="AE32" s="798"/>
      <c r="AF32" s="798"/>
      <c r="AG32" s="798"/>
      <c r="AH32" s="798"/>
      <c r="AI32" s="798"/>
      <c r="AJ32" s="798"/>
      <c r="AK32" s="798"/>
      <c r="AL32" s="798"/>
      <c r="AM32" s="798"/>
      <c r="AN32" s="798"/>
      <c r="AO32" s="762"/>
      <c r="AP32" s="798"/>
      <c r="AQ32" s="798"/>
      <c r="AR32" s="762"/>
      <c r="AS32" s="762"/>
      <c r="AT32" s="758"/>
      <c r="AV32" s="762"/>
      <c r="AW32" s="762"/>
    </row>
    <row r="33" spans="1:49" ht="13.5">
      <c r="A33" s="756">
        <f t="shared" si="0"/>
        <v>17</v>
      </c>
      <c r="B33" s="793" t="s">
        <v>35</v>
      </c>
      <c r="C33" s="757">
        <v>125897437.02</v>
      </c>
      <c r="D33" s="757">
        <v>0</v>
      </c>
      <c r="E33" s="757"/>
      <c r="F33" s="757">
        <v>0</v>
      </c>
      <c r="G33" s="757">
        <v>0</v>
      </c>
      <c r="H33" s="757">
        <v>0</v>
      </c>
      <c r="I33" s="757">
        <v>0</v>
      </c>
      <c r="J33" s="757">
        <v>0</v>
      </c>
      <c r="K33" s="757">
        <v>0</v>
      </c>
      <c r="L33" s="760">
        <v>25958.659866420552</v>
      </c>
      <c r="M33" s="757">
        <v>0</v>
      </c>
      <c r="N33" s="757">
        <v>0</v>
      </c>
      <c r="O33" s="757">
        <v>0</v>
      </c>
      <c r="P33" s="757">
        <v>0</v>
      </c>
      <c r="Q33" s="757">
        <v>0</v>
      </c>
      <c r="R33" s="757">
        <v>0</v>
      </c>
      <c r="S33" s="760">
        <v>311867.36638930067</v>
      </c>
      <c r="T33" s="757">
        <v>0</v>
      </c>
      <c r="U33" s="757">
        <v>0</v>
      </c>
      <c r="V33" s="757"/>
      <c r="W33" s="757"/>
      <c r="X33" s="757"/>
      <c r="Y33" s="757"/>
      <c r="Z33" s="757">
        <v>9584908.9536754489</v>
      </c>
      <c r="AA33" s="757">
        <v>0</v>
      </c>
      <c r="AB33" s="757">
        <v>0</v>
      </c>
      <c r="AC33" s="757">
        <v>0</v>
      </c>
      <c r="AD33" s="757">
        <v>0</v>
      </c>
      <c r="AE33" s="757"/>
      <c r="AF33" s="757">
        <v>0</v>
      </c>
      <c r="AG33" s="757">
        <v>0</v>
      </c>
      <c r="AH33" s="757">
        <v>0</v>
      </c>
      <c r="AI33" s="757">
        <v>0</v>
      </c>
      <c r="AJ33" s="757">
        <v>0</v>
      </c>
      <c r="AK33" s="757"/>
      <c r="AL33" s="760">
        <v>-8562.8762875037664</v>
      </c>
      <c r="AM33" s="760">
        <f t="shared" ref="AM33:AM47" si="6">SUM(D33:AL33)</f>
        <v>9914172.103643667</v>
      </c>
      <c r="AN33" s="760">
        <f t="shared" ref="AN33:AN47" si="7">AM33+C33</f>
        <v>135811609.12364367</v>
      </c>
      <c r="AO33" s="762">
        <f t="shared" ref="AO33:AO47" si="8">C33</f>
        <v>125897437.02</v>
      </c>
      <c r="AP33" s="760">
        <f t="shared" ref="AP33:AP47" si="9">+AM33</f>
        <v>9914172.103643667</v>
      </c>
      <c r="AQ33" s="760">
        <f t="shared" ref="AQ33:AQ47" si="10">SUM(AO33:AP33)</f>
        <v>135811609.12364367</v>
      </c>
      <c r="AR33" s="762">
        <v>0</v>
      </c>
      <c r="AS33" s="772">
        <f t="shared" ref="AS33:AS47" si="11">SUM(AQ33:AR33)</f>
        <v>135811609.12364367</v>
      </c>
      <c r="AT33" s="798"/>
      <c r="AV33" s="771"/>
      <c r="AW33" s="785">
        <f t="shared" ref="AW33:AW47" si="12">AR33-AV33</f>
        <v>0</v>
      </c>
    </row>
    <row r="34" spans="1:49" s="739" customFormat="1" ht="13.5">
      <c r="A34" s="756">
        <f t="shared" si="0"/>
        <v>18</v>
      </c>
      <c r="B34" s="769" t="s">
        <v>34</v>
      </c>
      <c r="C34" s="757">
        <v>20270050.379999898</v>
      </c>
      <c r="D34" s="757"/>
      <c r="E34" s="757"/>
      <c r="F34" s="757"/>
      <c r="G34" s="757"/>
      <c r="H34" s="757"/>
      <c r="I34" s="757"/>
      <c r="J34" s="757"/>
      <c r="K34" s="757">
        <v>0</v>
      </c>
      <c r="L34" s="760">
        <v>17172.273207784747</v>
      </c>
      <c r="M34" s="757"/>
      <c r="N34" s="757"/>
      <c r="O34" s="757"/>
      <c r="P34" s="757"/>
      <c r="Q34" s="757"/>
      <c r="R34" s="757"/>
      <c r="S34" s="760">
        <v>213679.20856288634</v>
      </c>
      <c r="T34" s="757"/>
      <c r="U34" s="757"/>
      <c r="V34" s="757"/>
      <c r="W34" s="757"/>
      <c r="X34" s="757"/>
      <c r="Y34" s="757"/>
      <c r="Z34" s="757">
        <v>-16783.132549889968</v>
      </c>
      <c r="AA34" s="757"/>
      <c r="AB34" s="757"/>
      <c r="AC34" s="757"/>
      <c r="AD34" s="797">
        <v>-131868.25166666671</v>
      </c>
      <c r="AE34" s="757"/>
      <c r="AF34" s="797"/>
      <c r="AG34" s="797"/>
      <c r="AH34" s="797"/>
      <c r="AI34" s="797"/>
      <c r="AJ34" s="797"/>
      <c r="AK34" s="797"/>
      <c r="AL34" s="757"/>
      <c r="AM34" s="760">
        <f t="shared" si="6"/>
        <v>82200.097554114414</v>
      </c>
      <c r="AN34" s="760">
        <f t="shared" si="7"/>
        <v>20352250.477554012</v>
      </c>
      <c r="AO34" s="762">
        <f t="shared" si="8"/>
        <v>20270050.379999898</v>
      </c>
      <c r="AP34" s="789">
        <f t="shared" si="9"/>
        <v>82200.097554114414</v>
      </c>
      <c r="AQ34" s="789">
        <f t="shared" si="10"/>
        <v>20352250.477554012</v>
      </c>
      <c r="AR34" s="762"/>
      <c r="AS34" s="789">
        <f t="shared" si="11"/>
        <v>20352250.477554012</v>
      </c>
      <c r="AT34" s="764"/>
      <c r="AU34" s="796"/>
      <c r="AV34" s="791"/>
      <c r="AW34" s="785">
        <f t="shared" si="12"/>
        <v>0</v>
      </c>
    </row>
    <row r="35" spans="1:49" s="739" customFormat="1" ht="13.5">
      <c r="A35" s="756">
        <f t="shared" si="0"/>
        <v>19</v>
      </c>
      <c r="B35" s="769" t="s">
        <v>33</v>
      </c>
      <c r="C35" s="757">
        <v>83356029.179999903</v>
      </c>
      <c r="D35" s="757"/>
      <c r="E35" s="757"/>
      <c r="F35" s="757"/>
      <c r="G35" s="757"/>
      <c r="H35" s="757"/>
      <c r="I35" s="757"/>
      <c r="J35" s="757"/>
      <c r="K35" s="757">
        <v>0</v>
      </c>
      <c r="L35" s="760">
        <v>28486.544004048221</v>
      </c>
      <c r="M35" s="757"/>
      <c r="N35" s="757"/>
      <c r="O35" s="757"/>
      <c r="P35" s="757"/>
      <c r="Q35" s="757"/>
      <c r="R35" s="757"/>
      <c r="S35" s="760">
        <v>340008.31331337243</v>
      </c>
      <c r="T35" s="757"/>
      <c r="U35" s="757"/>
      <c r="V35" s="757"/>
      <c r="W35" s="757"/>
      <c r="X35" s="757"/>
      <c r="Y35" s="757"/>
      <c r="Z35" s="757"/>
      <c r="AA35" s="757"/>
      <c r="AB35" s="757"/>
      <c r="AC35" s="757"/>
      <c r="AD35" s="757">
        <v>-271443.23000000231</v>
      </c>
      <c r="AE35" s="757"/>
      <c r="AF35" s="757"/>
      <c r="AG35" s="757"/>
      <c r="AH35" s="757"/>
      <c r="AI35" s="757"/>
      <c r="AJ35" s="757"/>
      <c r="AK35" s="757"/>
      <c r="AL35" s="757"/>
      <c r="AM35" s="760">
        <f t="shared" si="6"/>
        <v>97051.627317418344</v>
      </c>
      <c r="AN35" s="760">
        <f t="shared" si="7"/>
        <v>83453080.807317317</v>
      </c>
      <c r="AO35" s="762">
        <f t="shared" si="8"/>
        <v>83356029.179999903</v>
      </c>
      <c r="AP35" s="789">
        <f t="shared" si="9"/>
        <v>97051.627317418344</v>
      </c>
      <c r="AQ35" s="789">
        <f t="shared" si="10"/>
        <v>83453080.807317317</v>
      </c>
      <c r="AR35" s="762"/>
      <c r="AS35" s="789">
        <f t="shared" si="11"/>
        <v>83453080.807317317</v>
      </c>
      <c r="AT35" s="757"/>
      <c r="AU35" s="796"/>
      <c r="AV35" s="791"/>
      <c r="AW35" s="785">
        <f t="shared" si="12"/>
        <v>0</v>
      </c>
    </row>
    <row r="36" spans="1:49" ht="13.5">
      <c r="A36" s="756">
        <f t="shared" si="0"/>
        <v>20</v>
      </c>
      <c r="B36" s="769" t="s">
        <v>32</v>
      </c>
      <c r="C36" s="757">
        <v>47600166.421824999</v>
      </c>
      <c r="D36" s="757">
        <v>-206560.42365471341</v>
      </c>
      <c r="E36" s="764">
        <v>202638</v>
      </c>
      <c r="F36" s="757">
        <v>-1378053.9992858302</v>
      </c>
      <c r="G36" s="757"/>
      <c r="H36" s="757"/>
      <c r="I36" s="757"/>
      <c r="J36" s="757"/>
      <c r="K36" s="760">
        <v>-1047792</v>
      </c>
      <c r="L36" s="760">
        <v>10494.29780534911</v>
      </c>
      <c r="M36" s="757"/>
      <c r="N36" s="760">
        <v>176605.63064400846</v>
      </c>
      <c r="O36" s="757"/>
      <c r="P36" s="757"/>
      <c r="Q36" s="757"/>
      <c r="R36" s="757"/>
      <c r="S36" s="760">
        <v>122230.25261568837</v>
      </c>
      <c r="T36" s="757"/>
      <c r="U36" s="757"/>
      <c r="V36" s="757"/>
      <c r="W36" s="757">
        <v>4750001.9585469235</v>
      </c>
      <c r="X36" s="757"/>
      <c r="Y36" s="757"/>
      <c r="Z36" s="757"/>
      <c r="AA36" s="757"/>
      <c r="AB36" s="757"/>
      <c r="AC36" s="757"/>
      <c r="AD36" s="757"/>
      <c r="AE36" s="757"/>
      <c r="AF36" s="757"/>
      <c r="AG36" s="757"/>
      <c r="AH36" s="757"/>
      <c r="AI36" s="757"/>
      <c r="AJ36" s="757"/>
      <c r="AK36" s="757"/>
      <c r="AL36" s="757"/>
      <c r="AM36" s="760">
        <f t="shared" si="6"/>
        <v>2629563.7166714258</v>
      </c>
      <c r="AN36" s="760">
        <f t="shared" si="7"/>
        <v>50229730.138496429</v>
      </c>
      <c r="AO36" s="762">
        <f t="shared" si="8"/>
        <v>47600166.421824999</v>
      </c>
      <c r="AP36" s="789">
        <f t="shared" si="9"/>
        <v>2629563.7166714258</v>
      </c>
      <c r="AQ36" s="789">
        <f t="shared" si="10"/>
        <v>50229730.138496429</v>
      </c>
      <c r="AR36" s="772">
        <v>1030837.496362</v>
      </c>
      <c r="AS36" s="789">
        <f t="shared" si="11"/>
        <v>51260567.634858429</v>
      </c>
      <c r="AT36" s="757"/>
      <c r="AV36" s="788">
        <v>541994.04185400007</v>
      </c>
      <c r="AW36" s="785">
        <f t="shared" si="12"/>
        <v>488843.45450799994</v>
      </c>
    </row>
    <row r="37" spans="1:49" ht="13.5">
      <c r="A37" s="756">
        <f t="shared" si="0"/>
        <v>21</v>
      </c>
      <c r="B37" s="769" t="s">
        <v>31</v>
      </c>
      <c r="C37" s="757">
        <v>19829127.240927998</v>
      </c>
      <c r="D37" s="757"/>
      <c r="E37" s="757"/>
      <c r="F37" s="757">
        <v>-17275568.259999998</v>
      </c>
      <c r="G37" s="757"/>
      <c r="H37" s="757"/>
      <c r="I37" s="757"/>
      <c r="J37" s="757"/>
      <c r="K37" s="757"/>
      <c r="L37" s="760">
        <v>3372.6260396867092</v>
      </c>
      <c r="M37" s="757"/>
      <c r="N37" s="757"/>
      <c r="O37" s="757"/>
      <c r="P37" s="757"/>
      <c r="Q37" s="757"/>
      <c r="R37" s="757"/>
      <c r="S37" s="760">
        <v>41683.28304620026</v>
      </c>
      <c r="T37" s="757"/>
      <c r="U37" s="757"/>
      <c r="V37" s="757"/>
      <c r="W37" s="757"/>
      <c r="X37" s="757"/>
      <c r="Y37" s="757"/>
      <c r="Z37" s="757"/>
      <c r="AA37" s="757"/>
      <c r="AB37" s="757"/>
      <c r="AC37" s="757"/>
      <c r="AD37" s="757"/>
      <c r="AE37" s="757"/>
      <c r="AF37" s="757"/>
      <c r="AG37" s="757"/>
      <c r="AH37" s="757"/>
      <c r="AI37" s="757"/>
      <c r="AJ37" s="757"/>
      <c r="AK37" s="757"/>
      <c r="AL37" s="757"/>
      <c r="AM37" s="760">
        <f t="shared" si="6"/>
        <v>-17230512.350914109</v>
      </c>
      <c r="AN37" s="760">
        <f t="shared" si="7"/>
        <v>2598614.8900138885</v>
      </c>
      <c r="AO37" s="762">
        <f t="shared" si="8"/>
        <v>19829127.240927998</v>
      </c>
      <c r="AP37" s="789">
        <f t="shared" si="9"/>
        <v>-17230512.350914109</v>
      </c>
      <c r="AQ37" s="789">
        <f t="shared" si="10"/>
        <v>2598614.8900138885</v>
      </c>
      <c r="AR37" s="762"/>
      <c r="AS37" s="789">
        <f t="shared" si="11"/>
        <v>2598614.8900138885</v>
      </c>
      <c r="AT37" s="757"/>
      <c r="AV37" s="788"/>
      <c r="AW37" s="785">
        <f t="shared" si="12"/>
        <v>0</v>
      </c>
    </row>
    <row r="38" spans="1:49" ht="13.5">
      <c r="A38" s="756">
        <f t="shared" si="0"/>
        <v>22</v>
      </c>
      <c r="B38" s="769" t="s">
        <v>30</v>
      </c>
      <c r="C38" s="757">
        <v>97566974.959999993</v>
      </c>
      <c r="D38" s="757"/>
      <c r="E38" s="757"/>
      <c r="F38" s="757">
        <v>-97540765.159999996</v>
      </c>
      <c r="G38" s="757"/>
      <c r="H38" s="757"/>
      <c r="I38" s="757"/>
      <c r="J38" s="757"/>
      <c r="K38" s="757"/>
      <c r="L38" s="757"/>
      <c r="M38" s="757"/>
      <c r="N38" s="757"/>
      <c r="O38" s="757"/>
      <c r="P38" s="757"/>
      <c r="Q38" s="757"/>
      <c r="R38" s="757"/>
      <c r="S38" s="757"/>
      <c r="T38" s="757"/>
      <c r="U38" s="757"/>
      <c r="V38" s="757"/>
      <c r="W38" s="757"/>
      <c r="X38" s="757"/>
      <c r="Y38" s="757"/>
      <c r="Z38" s="757"/>
      <c r="AA38" s="757"/>
      <c r="AB38" s="757"/>
      <c r="AC38" s="757"/>
      <c r="AD38" s="757"/>
      <c r="AE38" s="757"/>
      <c r="AF38" s="757"/>
      <c r="AG38" s="757"/>
      <c r="AH38" s="757"/>
      <c r="AI38" s="757"/>
      <c r="AJ38" s="757"/>
      <c r="AK38" s="757"/>
      <c r="AL38" s="757"/>
      <c r="AM38" s="757">
        <f t="shared" si="6"/>
        <v>-97540765.159999996</v>
      </c>
      <c r="AN38" s="757">
        <f t="shared" si="7"/>
        <v>26209.79999999702</v>
      </c>
      <c r="AO38" s="762">
        <f t="shared" si="8"/>
        <v>97566974.959999993</v>
      </c>
      <c r="AP38" s="758">
        <f t="shared" si="9"/>
        <v>-97540765.159999996</v>
      </c>
      <c r="AQ38" s="758">
        <f t="shared" si="10"/>
        <v>26209.79999999702</v>
      </c>
      <c r="AR38" s="762"/>
      <c r="AS38" s="762">
        <f t="shared" si="11"/>
        <v>26209.79999999702</v>
      </c>
      <c r="AT38" s="757"/>
      <c r="AV38" s="762"/>
      <c r="AW38" s="785">
        <f t="shared" si="12"/>
        <v>0</v>
      </c>
    </row>
    <row r="39" spans="1:49" ht="13.5">
      <c r="A39" s="756">
        <f t="shared" si="0"/>
        <v>23</v>
      </c>
      <c r="B39" s="769" t="s">
        <v>29</v>
      </c>
      <c r="C39" s="757">
        <v>114599758.581515</v>
      </c>
      <c r="D39" s="757">
        <v>-57722.627820235684</v>
      </c>
      <c r="E39" s="757">
        <v>56627</v>
      </c>
      <c r="F39" s="757">
        <v>-426522.21638000006</v>
      </c>
      <c r="G39" s="757"/>
      <c r="H39" s="757"/>
      <c r="I39" s="757" t="s">
        <v>15</v>
      </c>
      <c r="J39" s="757">
        <v>-106750.2786706667</v>
      </c>
      <c r="K39" s="757"/>
      <c r="L39" s="760">
        <v>63226.904854136286</v>
      </c>
      <c r="M39" s="757">
        <v>-24832.496714436435</v>
      </c>
      <c r="N39" s="757"/>
      <c r="O39" s="795">
        <v>407545.487356</v>
      </c>
      <c r="P39" s="757"/>
      <c r="Q39" s="795">
        <v>-101764.80083986348</v>
      </c>
      <c r="R39" s="795">
        <v>1822992.9925739774</v>
      </c>
      <c r="S39" s="760">
        <v>795244.97081179544</v>
      </c>
      <c r="T39" s="760">
        <v>148775.67639789265</v>
      </c>
      <c r="U39" s="757">
        <v>187308.92923393101</v>
      </c>
      <c r="V39" s="757"/>
      <c r="W39" s="757"/>
      <c r="X39" s="757">
        <v>-363750.12810969783</v>
      </c>
      <c r="Y39" s="757">
        <v>-51913.275359999388</v>
      </c>
      <c r="Z39" s="757"/>
      <c r="AA39" s="757"/>
      <c r="AB39" s="757"/>
      <c r="AC39" s="757"/>
      <c r="AD39" s="757"/>
      <c r="AE39" s="757"/>
      <c r="AF39" s="757"/>
      <c r="AG39" s="757"/>
      <c r="AH39" s="757"/>
      <c r="AI39" s="757"/>
      <c r="AJ39" s="757"/>
      <c r="AK39" s="757"/>
      <c r="AL39" s="760">
        <v>-283478.56778138079</v>
      </c>
      <c r="AM39" s="760">
        <f t="shared" si="6"/>
        <v>2064987.5695514525</v>
      </c>
      <c r="AN39" s="760">
        <f t="shared" si="7"/>
        <v>116664746.15106645</v>
      </c>
      <c r="AO39" s="762">
        <f t="shared" si="8"/>
        <v>114599758.581515</v>
      </c>
      <c r="AP39" s="789">
        <f t="shared" si="9"/>
        <v>2064987.5695514525</v>
      </c>
      <c r="AQ39" s="789">
        <f t="shared" si="10"/>
        <v>116664746.15106645</v>
      </c>
      <c r="AR39" s="772">
        <v>288064.13199999998</v>
      </c>
      <c r="AS39" s="789">
        <f t="shared" si="11"/>
        <v>116952810.28306645</v>
      </c>
      <c r="AT39" s="757"/>
      <c r="AV39" s="788">
        <f>AV22*keep_WUTC_FILING_FEE</f>
        <v>151458.44400000002</v>
      </c>
      <c r="AW39" s="785">
        <f t="shared" si="12"/>
        <v>136605.68799999997</v>
      </c>
    </row>
    <row r="40" spans="1:49" ht="13.5">
      <c r="A40" s="756">
        <f t="shared" si="0"/>
        <v>24</v>
      </c>
      <c r="B40" s="769" t="s">
        <v>28</v>
      </c>
      <c r="C40" s="757">
        <v>268356984.80397999</v>
      </c>
      <c r="D40" s="757"/>
      <c r="E40" s="757"/>
      <c r="F40" s="757"/>
      <c r="G40" s="757"/>
      <c r="H40" s="757"/>
      <c r="I40" s="757">
        <v>53998972.749988943</v>
      </c>
      <c r="J40" s="757"/>
      <c r="K40" s="757"/>
      <c r="L40" s="757"/>
      <c r="M40" s="757"/>
      <c r="N40" s="757"/>
      <c r="O40" s="757"/>
      <c r="P40" s="757"/>
      <c r="Q40" s="757"/>
      <c r="R40" s="757"/>
      <c r="S40" s="757"/>
      <c r="T40" s="757"/>
      <c r="U40" s="757"/>
      <c r="V40" s="757"/>
      <c r="W40" s="757"/>
      <c r="X40" s="757">
        <v>-304013.62553715741</v>
      </c>
      <c r="Y40" s="757"/>
      <c r="Z40" s="757"/>
      <c r="AA40" s="757"/>
      <c r="AB40" s="757">
        <v>-212138.37865459672</v>
      </c>
      <c r="AC40" s="757"/>
      <c r="AD40" s="757"/>
      <c r="AE40" s="757"/>
      <c r="AF40" s="757">
        <v>223831.26558229775</v>
      </c>
      <c r="AG40" s="737"/>
      <c r="AH40" s="757">
        <v>-3317.0689883994637</v>
      </c>
      <c r="AI40" s="757">
        <v>0</v>
      </c>
      <c r="AJ40" s="757"/>
      <c r="AK40" s="757"/>
      <c r="AL40" s="757">
        <v>-3796102.255248819</v>
      </c>
      <c r="AM40" s="757">
        <f t="shared" si="6"/>
        <v>49907232.687142268</v>
      </c>
      <c r="AN40" s="757">
        <f t="shared" si="7"/>
        <v>318264217.49112225</v>
      </c>
      <c r="AO40" s="762">
        <f t="shared" si="8"/>
        <v>268356984.80397999</v>
      </c>
      <c r="AP40" s="758">
        <f t="shared" si="9"/>
        <v>49907232.687142268</v>
      </c>
      <c r="AQ40" s="758">
        <f t="shared" si="10"/>
        <v>318264217.49112225</v>
      </c>
      <c r="AR40" s="762"/>
      <c r="AS40" s="758">
        <f t="shared" si="11"/>
        <v>318264217.49112225</v>
      </c>
      <c r="AT40" s="757"/>
      <c r="AV40" s="794"/>
      <c r="AW40" s="785">
        <f t="shared" si="12"/>
        <v>0</v>
      </c>
    </row>
    <row r="41" spans="1:49" ht="13.5">
      <c r="A41" s="756">
        <f t="shared" si="0"/>
        <v>25</v>
      </c>
      <c r="B41" s="769" t="s">
        <v>27</v>
      </c>
      <c r="C41" s="757">
        <v>45684974.945897996</v>
      </c>
      <c r="D41" s="757"/>
      <c r="E41" s="757"/>
      <c r="F41" s="757"/>
      <c r="G41" s="757"/>
      <c r="H41" s="757"/>
      <c r="I41" s="757">
        <v>-751878.87284983043</v>
      </c>
      <c r="J41" s="757"/>
      <c r="K41" s="757"/>
      <c r="L41" s="757"/>
      <c r="M41" s="757"/>
      <c r="N41" s="757"/>
      <c r="O41" s="757"/>
      <c r="P41" s="757"/>
      <c r="Q41" s="757"/>
      <c r="R41" s="757"/>
      <c r="S41" s="757"/>
      <c r="T41" s="757"/>
      <c r="U41" s="757"/>
      <c r="V41" s="757"/>
      <c r="W41" s="757"/>
      <c r="X41" s="757"/>
      <c r="Y41" s="757"/>
      <c r="Z41" s="757"/>
      <c r="AA41" s="757"/>
      <c r="AB41" s="757"/>
      <c r="AC41" s="757"/>
      <c r="AE41" s="757"/>
      <c r="AG41" s="757">
        <v>5373410.6000000006</v>
      </c>
      <c r="AJ41" s="737"/>
      <c r="AK41" s="737"/>
      <c r="AL41" s="757">
        <v>-299559.51406567206</v>
      </c>
      <c r="AM41" s="757">
        <f t="shared" si="6"/>
        <v>4321972.2130844984</v>
      </c>
      <c r="AN41" s="757">
        <f t="shared" si="7"/>
        <v>50006947.158982493</v>
      </c>
      <c r="AO41" s="762">
        <f t="shared" si="8"/>
        <v>45684974.945897996</v>
      </c>
      <c r="AP41" s="758">
        <f t="shared" si="9"/>
        <v>4321972.2130844984</v>
      </c>
      <c r="AQ41" s="758">
        <f t="shared" si="10"/>
        <v>50006947.158982493</v>
      </c>
      <c r="AR41" s="762"/>
      <c r="AS41" s="758">
        <f t="shared" si="11"/>
        <v>50006947.158982493</v>
      </c>
      <c r="AT41" s="757"/>
      <c r="AV41" s="758"/>
      <c r="AW41" s="785">
        <f t="shared" si="12"/>
        <v>0</v>
      </c>
    </row>
    <row r="42" spans="1:49" ht="13.5">
      <c r="A42" s="756">
        <f t="shared" si="0"/>
        <v>26</v>
      </c>
      <c r="B42" s="793" t="s">
        <v>26</v>
      </c>
      <c r="C42" s="757">
        <v>20604866.16</v>
      </c>
      <c r="D42" s="757"/>
      <c r="E42" s="757"/>
      <c r="F42" s="757"/>
      <c r="G42" s="757"/>
      <c r="H42" s="757"/>
      <c r="I42" s="757"/>
      <c r="J42" s="757"/>
      <c r="K42" s="757"/>
      <c r="L42" s="757"/>
      <c r="M42" s="757"/>
      <c r="N42" s="757"/>
      <c r="O42" s="757"/>
      <c r="P42" s="757" t="s">
        <v>15</v>
      </c>
      <c r="Q42" s="757"/>
      <c r="R42" s="757"/>
      <c r="S42" s="757"/>
      <c r="T42" s="757"/>
      <c r="U42" s="757"/>
      <c r="V42" s="757"/>
      <c r="W42" s="757"/>
      <c r="X42" s="757"/>
      <c r="Y42" s="757"/>
      <c r="Z42" s="757"/>
      <c r="AA42" s="757"/>
      <c r="AB42" s="757"/>
      <c r="AC42" s="757"/>
      <c r="AD42" s="760">
        <v>13309492.535833333</v>
      </c>
      <c r="AE42" s="757">
        <v>-241268.10200000007</v>
      </c>
      <c r="AF42" s="757"/>
      <c r="AG42" s="757"/>
      <c r="AH42" s="757"/>
      <c r="AI42" s="757"/>
      <c r="AJ42" s="792">
        <v>5058938.8277102718</v>
      </c>
      <c r="AK42" s="737"/>
      <c r="AL42" s="760">
        <v>-262086.67183578649</v>
      </c>
      <c r="AM42" s="760">
        <f t="shared" si="6"/>
        <v>17865076.589707818</v>
      </c>
      <c r="AN42" s="760">
        <f t="shared" si="7"/>
        <v>38469942.749707818</v>
      </c>
      <c r="AO42" s="762">
        <f t="shared" si="8"/>
        <v>20604866.16</v>
      </c>
      <c r="AP42" s="789">
        <f t="shared" si="9"/>
        <v>17865076.589707818</v>
      </c>
      <c r="AQ42" s="789">
        <f t="shared" si="10"/>
        <v>38469942.749707818</v>
      </c>
      <c r="AR42" s="762"/>
      <c r="AS42" s="789">
        <f t="shared" si="11"/>
        <v>38469942.749707818</v>
      </c>
      <c r="AT42" s="757"/>
      <c r="AV42" s="791"/>
      <c r="AW42" s="785">
        <f t="shared" si="12"/>
        <v>0</v>
      </c>
    </row>
    <row r="43" spans="1:49" ht="13.5">
      <c r="A43" s="756">
        <f t="shared" si="0"/>
        <v>27</v>
      </c>
      <c r="B43" s="769" t="s">
        <v>25</v>
      </c>
      <c r="C43" s="757">
        <v>-9997193.5551139992</v>
      </c>
      <c r="D43" s="757">
        <v>17342294.120000005</v>
      </c>
      <c r="E43" s="757"/>
      <c r="F43" s="757">
        <v>365334.82</v>
      </c>
      <c r="G43" s="757"/>
      <c r="H43" s="757"/>
      <c r="I43" s="757"/>
      <c r="J43" s="757"/>
      <c r="K43" s="757"/>
      <c r="L43" s="757"/>
      <c r="M43" s="757"/>
      <c r="N43" s="757"/>
      <c r="O43" s="757"/>
      <c r="P43" s="757">
        <v>-263384.27666666743</v>
      </c>
      <c r="Q43" s="757"/>
      <c r="R43" s="757"/>
      <c r="S43" s="757"/>
      <c r="T43" s="757"/>
      <c r="U43" s="757"/>
      <c r="V43" s="757">
        <v>1422577.0493701622</v>
      </c>
      <c r="W43" s="757"/>
      <c r="X43" s="757"/>
      <c r="Y43" s="757"/>
      <c r="Z43" s="757"/>
      <c r="AA43" s="757"/>
      <c r="AB43" s="757"/>
      <c r="AC43" s="757"/>
      <c r="AD43" s="757"/>
      <c r="AE43" s="757">
        <v>-2429827.2079230589</v>
      </c>
      <c r="AF43" s="757"/>
      <c r="AG43" s="757"/>
      <c r="AH43" s="757"/>
      <c r="AI43" s="757"/>
      <c r="AJ43" s="757"/>
      <c r="AK43" s="752">
        <v>3279780</v>
      </c>
      <c r="AL43" s="757">
        <v>-230038.82166857479</v>
      </c>
      <c r="AM43" s="757">
        <f t="shared" si="6"/>
        <v>19486735.683111865</v>
      </c>
      <c r="AN43" s="757">
        <f t="shared" si="7"/>
        <v>9489542.1279978659</v>
      </c>
      <c r="AO43" s="762">
        <f t="shared" si="8"/>
        <v>-9997193.5551139992</v>
      </c>
      <c r="AP43" s="758">
        <f t="shared" si="9"/>
        <v>19486735.683111865</v>
      </c>
      <c r="AQ43" s="758">
        <f t="shared" si="10"/>
        <v>9489542.1279978659</v>
      </c>
      <c r="AR43" s="762"/>
      <c r="AS43" s="758">
        <f t="shared" si="11"/>
        <v>9489542.1279978659</v>
      </c>
      <c r="AT43" s="757"/>
      <c r="AV43" s="758"/>
      <c r="AW43" s="785">
        <f t="shared" si="12"/>
        <v>0</v>
      </c>
    </row>
    <row r="44" spans="1:49" ht="13.5">
      <c r="A44" s="756">
        <f t="shared" si="0"/>
        <v>28</v>
      </c>
      <c r="B44" s="739" t="s">
        <v>24</v>
      </c>
      <c r="C44" s="757">
        <v>-64111667.629999898</v>
      </c>
      <c r="Y44" s="790"/>
      <c r="AC44" s="752">
        <v>64111667.629999898</v>
      </c>
      <c r="AM44" s="757">
        <f t="shared" si="6"/>
        <v>64111667.629999898</v>
      </c>
      <c r="AN44" s="757">
        <f t="shared" si="7"/>
        <v>0</v>
      </c>
      <c r="AO44" s="762">
        <f t="shared" si="8"/>
        <v>-64111667.629999898</v>
      </c>
      <c r="AP44" s="758">
        <f t="shared" si="9"/>
        <v>64111667.629999898</v>
      </c>
      <c r="AQ44" s="758">
        <f t="shared" si="10"/>
        <v>0</v>
      </c>
      <c r="AR44" s="762"/>
      <c r="AS44" s="758">
        <f t="shared" si="11"/>
        <v>0</v>
      </c>
      <c r="AT44" s="757"/>
      <c r="AV44" s="758"/>
      <c r="AW44" s="785">
        <f t="shared" si="12"/>
        <v>0</v>
      </c>
    </row>
    <row r="45" spans="1:49" ht="13.5">
      <c r="A45" s="756">
        <f t="shared" si="0"/>
        <v>29</v>
      </c>
      <c r="B45" s="769" t="s">
        <v>23</v>
      </c>
      <c r="C45" s="757">
        <v>230800256.78218898</v>
      </c>
      <c r="D45" s="757">
        <v>-1109919.5490414018</v>
      </c>
      <c r="E45" s="757">
        <v>1088843</v>
      </c>
      <c r="F45" s="762">
        <v>-144297723.10863283</v>
      </c>
      <c r="G45" s="757"/>
      <c r="H45" s="757"/>
      <c r="I45" s="757"/>
      <c r="J45" s="757"/>
      <c r="K45" s="757"/>
      <c r="L45" s="772">
        <v>9990.7095914349775</v>
      </c>
      <c r="M45" s="757"/>
      <c r="N45" s="757"/>
      <c r="O45" s="757"/>
      <c r="P45" s="757"/>
      <c r="Q45" s="757"/>
      <c r="R45" s="757"/>
      <c r="S45" s="760">
        <v>133533.17603166337</v>
      </c>
      <c r="T45" s="757"/>
      <c r="U45" s="757"/>
      <c r="V45" s="757"/>
      <c r="W45" s="757"/>
      <c r="X45" s="757"/>
      <c r="Y45" s="790">
        <v>36124.958262011409</v>
      </c>
      <c r="Z45" s="757">
        <v>56686.323528445922</v>
      </c>
      <c r="AA45" s="760">
        <v>-94051.271335334284</v>
      </c>
      <c r="AB45" s="757"/>
      <c r="AC45" s="757"/>
      <c r="AD45" s="757"/>
      <c r="AE45" s="762"/>
      <c r="AF45" s="757"/>
      <c r="AG45" s="757"/>
      <c r="AH45" s="757"/>
      <c r="AI45" s="757"/>
      <c r="AJ45" s="757"/>
      <c r="AK45" s="757"/>
      <c r="AL45" s="772">
        <v>-53723.988076255606</v>
      </c>
      <c r="AM45" s="760">
        <f t="shared" si="6"/>
        <v>-144230239.74967229</v>
      </c>
      <c r="AN45" s="760">
        <f t="shared" si="7"/>
        <v>86570017.032516688</v>
      </c>
      <c r="AO45" s="762">
        <f t="shared" si="8"/>
        <v>230800256.78218898</v>
      </c>
      <c r="AP45" s="789">
        <f t="shared" si="9"/>
        <v>-144230239.74967229</v>
      </c>
      <c r="AQ45" s="789">
        <f t="shared" si="10"/>
        <v>86570017.032516688</v>
      </c>
      <c r="AR45" s="772">
        <v>5539041.1621619994</v>
      </c>
      <c r="AS45" s="789">
        <f t="shared" si="11"/>
        <v>92109058.194678694</v>
      </c>
      <c r="AT45" s="757"/>
      <c r="AV45" s="788">
        <f>AV22*keep_STATE_UTILITY_TAX</f>
        <v>2912318.6904539997</v>
      </c>
      <c r="AW45" s="785">
        <f t="shared" si="12"/>
        <v>2626722.4717079997</v>
      </c>
    </row>
    <row r="46" spans="1:49" ht="13.5">
      <c r="A46" s="756">
        <f t="shared" si="0"/>
        <v>30</v>
      </c>
      <c r="B46" s="769" t="s">
        <v>22</v>
      </c>
      <c r="C46" s="757">
        <v>800</v>
      </c>
      <c r="D46" s="757">
        <v>-15690291.900360523</v>
      </c>
      <c r="E46" s="757">
        <v>9437801</v>
      </c>
      <c r="F46" s="757">
        <v>-538752.47499545664</v>
      </c>
      <c r="G46" s="757">
        <v>144836215.65657258</v>
      </c>
      <c r="H46" s="760">
        <v>-53347930.4173996</v>
      </c>
      <c r="I46" s="757">
        <v>-18636482.856998689</v>
      </c>
      <c r="J46" s="757">
        <v>37363</v>
      </c>
      <c r="K46" s="760">
        <v>366727</v>
      </c>
      <c r="L46" s="760">
        <v>-59178.640367391366</v>
      </c>
      <c r="M46" s="757">
        <v>8691.3738500527506</v>
      </c>
      <c r="N46" s="757"/>
      <c r="O46" s="764">
        <v>-142640.92057459999</v>
      </c>
      <c r="P46" s="757">
        <v>92184.4968333336</v>
      </c>
      <c r="Q46" s="757">
        <v>35617.680293952217</v>
      </c>
      <c r="R46" s="757">
        <v>-638047.54740089201</v>
      </c>
      <c r="S46" s="760">
        <v>-731077.62487731851</v>
      </c>
      <c r="T46" s="760">
        <v>-52071</v>
      </c>
      <c r="U46" s="757">
        <v>-65558</v>
      </c>
      <c r="V46" s="757">
        <v>-497902</v>
      </c>
      <c r="W46" s="757">
        <v>-1662500.6854914231</v>
      </c>
      <c r="X46" s="757">
        <v>233717.31377639933</v>
      </c>
      <c r="Y46" s="757">
        <v>5526</v>
      </c>
      <c r="Z46" s="760">
        <v>-7954428.2916630376</v>
      </c>
      <c r="AA46" s="760">
        <v>32918</v>
      </c>
      <c r="AB46" s="757">
        <v>74248</v>
      </c>
      <c r="AC46" s="757"/>
      <c r="AD46" s="760">
        <v>-4517163.3689583316</v>
      </c>
      <c r="AE46" s="757">
        <v>934883.35847307055</v>
      </c>
      <c r="AF46" s="757">
        <v>-78340.942953804202</v>
      </c>
      <c r="AG46" s="757">
        <v>-1880693.71</v>
      </c>
      <c r="AH46" s="757">
        <v>1160.9741459398122</v>
      </c>
      <c r="AI46" s="757">
        <v>0</v>
      </c>
      <c r="AJ46" s="760">
        <v>-1770628.589698595</v>
      </c>
      <c r="AK46" s="757">
        <v>-1147923</v>
      </c>
      <c r="AL46" s="760">
        <v>1807832.5656322357</v>
      </c>
      <c r="AM46" s="760">
        <f t="shared" si="6"/>
        <v>48493274.447837904</v>
      </c>
      <c r="AN46" s="760">
        <f t="shared" si="7"/>
        <v>48494074.447837904</v>
      </c>
      <c r="AO46" s="762">
        <f t="shared" si="8"/>
        <v>800</v>
      </c>
      <c r="AP46" s="789">
        <f t="shared" si="9"/>
        <v>48493274.447837904</v>
      </c>
      <c r="AQ46" s="789">
        <f t="shared" si="10"/>
        <v>48494074.447837904</v>
      </c>
      <c r="AR46" s="772">
        <v>48010928.720109999</v>
      </c>
      <c r="AS46" s="789">
        <f t="shared" si="11"/>
        <v>96505003.167947903</v>
      </c>
      <c r="AT46" s="757"/>
      <c r="AV46" s="788">
        <v>25243200.215369999</v>
      </c>
      <c r="AW46" s="785">
        <f t="shared" si="12"/>
        <v>22767728.50474</v>
      </c>
    </row>
    <row r="47" spans="1:49" ht="13.5">
      <c r="A47" s="756">
        <f t="shared" si="0"/>
        <v>31</v>
      </c>
      <c r="B47" s="739" t="s">
        <v>21</v>
      </c>
      <c r="C47" s="786">
        <v>181996914.66999999</v>
      </c>
      <c r="D47" s="786"/>
      <c r="E47" s="786"/>
      <c r="F47" s="758"/>
      <c r="G47" s="757">
        <v>-117812976.8499999</v>
      </c>
      <c r="H47" s="787"/>
      <c r="I47" s="786"/>
      <c r="J47" s="758"/>
      <c r="K47" s="786"/>
      <c r="L47" s="758"/>
      <c r="M47" s="786"/>
      <c r="N47" s="786"/>
      <c r="O47" s="786"/>
      <c r="P47" s="786"/>
      <c r="Q47" s="786"/>
      <c r="R47" s="786"/>
      <c r="S47" s="786"/>
      <c r="T47" s="786"/>
      <c r="U47" s="786"/>
      <c r="V47" s="786"/>
      <c r="W47" s="786"/>
      <c r="X47" s="786"/>
      <c r="Y47" s="786"/>
      <c r="Z47" s="786"/>
      <c r="AA47" s="786"/>
      <c r="AB47" s="758"/>
      <c r="AC47" s="757">
        <v>-22439083.670499962</v>
      </c>
      <c r="AD47" s="786"/>
      <c r="AE47" s="758"/>
      <c r="AF47" s="786"/>
      <c r="AG47" s="786"/>
      <c r="AH47" s="786"/>
      <c r="AI47" s="786"/>
      <c r="AJ47" s="786"/>
      <c r="AK47" s="758"/>
      <c r="AL47" s="758"/>
      <c r="AM47" s="757">
        <f t="shared" si="6"/>
        <v>-140252060.52049986</v>
      </c>
      <c r="AN47" s="757">
        <f t="shared" si="7"/>
        <v>41744854.149500132</v>
      </c>
      <c r="AO47" s="762">
        <f t="shared" si="8"/>
        <v>181996914.66999999</v>
      </c>
      <c r="AP47" s="786">
        <f t="shared" si="9"/>
        <v>-140252060.52049986</v>
      </c>
      <c r="AQ47" s="786">
        <f t="shared" si="10"/>
        <v>41744854.149500132</v>
      </c>
      <c r="AR47" s="762"/>
      <c r="AS47" s="786">
        <f t="shared" si="11"/>
        <v>41744854.149500132</v>
      </c>
      <c r="AT47" s="757"/>
      <c r="AV47" s="786"/>
      <c r="AW47" s="785">
        <f t="shared" si="12"/>
        <v>0</v>
      </c>
    </row>
    <row r="48" spans="1:49" ht="18.75" customHeight="1">
      <c r="A48" s="756">
        <f t="shared" si="0"/>
        <v>32</v>
      </c>
      <c r="B48" s="769" t="s">
        <v>20</v>
      </c>
      <c r="C48" s="784">
        <f t="shared" ref="C48:AS48" si="13">SUM(C31:C47)</f>
        <v>1994336799.3812201</v>
      </c>
      <c r="D48" s="784">
        <f t="shared" si="13"/>
        <v>277799.6191231329</v>
      </c>
      <c r="E48" s="784">
        <f t="shared" si="13"/>
        <v>10785909</v>
      </c>
      <c r="F48" s="784">
        <f t="shared" si="13"/>
        <v>-191823830.72929412</v>
      </c>
      <c r="G48" s="784">
        <f t="shared" si="13"/>
        <v>27023238.806572676</v>
      </c>
      <c r="H48" s="781">
        <f t="shared" si="13"/>
        <v>-53347930.4173996</v>
      </c>
      <c r="I48" s="784">
        <f t="shared" si="13"/>
        <v>34610611.020140424</v>
      </c>
      <c r="J48" s="784">
        <f t="shared" si="13"/>
        <v>-69387.278670666696</v>
      </c>
      <c r="K48" s="781">
        <f t="shared" si="13"/>
        <v>-681065</v>
      </c>
      <c r="L48" s="781">
        <f t="shared" si="13"/>
        <v>109903.18925372648</v>
      </c>
      <c r="M48" s="784">
        <f t="shared" si="13"/>
        <v>-16141.122864383684</v>
      </c>
      <c r="N48" s="781">
        <f t="shared" si="13"/>
        <v>176605.63064400846</v>
      </c>
      <c r="O48" s="784">
        <f t="shared" si="13"/>
        <v>264904.5667814</v>
      </c>
      <c r="P48" s="784">
        <f t="shared" si="13"/>
        <v>-171199.77983333383</v>
      </c>
      <c r="Q48" s="784">
        <f t="shared" si="13"/>
        <v>-66147.120545911268</v>
      </c>
      <c r="R48" s="784">
        <f t="shared" si="13"/>
        <v>1184945.4451730854</v>
      </c>
      <c r="S48" s="781">
        <f t="shared" si="13"/>
        <v>1357715.5890578774</v>
      </c>
      <c r="T48" s="781">
        <f t="shared" si="13"/>
        <v>96704.676397892646</v>
      </c>
      <c r="U48" s="784">
        <f t="shared" si="13"/>
        <v>121750.92923393101</v>
      </c>
      <c r="V48" s="784">
        <f t="shared" si="13"/>
        <v>924675.04937016219</v>
      </c>
      <c r="W48" s="784">
        <f t="shared" si="13"/>
        <v>3087501.2730555004</v>
      </c>
      <c r="X48" s="784">
        <f t="shared" si="13"/>
        <v>-434046.43987045588</v>
      </c>
      <c r="Y48" s="784">
        <f t="shared" si="13"/>
        <v>-10262.31709798798</v>
      </c>
      <c r="Z48" s="781">
        <f t="shared" si="13"/>
        <v>-119860379.32375954</v>
      </c>
      <c r="AA48" s="781">
        <f t="shared" si="13"/>
        <v>-61133.271335334284</v>
      </c>
      <c r="AB48" s="784">
        <f t="shared" si="13"/>
        <v>-137890.37865459672</v>
      </c>
      <c r="AC48" s="784">
        <f t="shared" si="13"/>
        <v>41672583.95949994</v>
      </c>
      <c r="AD48" s="781">
        <f t="shared" si="13"/>
        <v>8389017.6852083318</v>
      </c>
      <c r="AE48" s="784">
        <f t="shared" si="13"/>
        <v>-1736211.9514499884</v>
      </c>
      <c r="AF48" s="784">
        <f t="shared" si="13"/>
        <v>145490.32262849354</v>
      </c>
      <c r="AG48" s="784">
        <f t="shared" si="13"/>
        <v>3492716.8900000006</v>
      </c>
      <c r="AH48" s="784">
        <f t="shared" si="13"/>
        <v>-2156.0948424596518</v>
      </c>
      <c r="AI48" s="784">
        <f t="shared" si="13"/>
        <v>0</v>
      </c>
      <c r="AJ48" s="781">
        <f t="shared" si="13"/>
        <v>3288310.2380116768</v>
      </c>
      <c r="AK48" s="784">
        <f t="shared" si="13"/>
        <v>2131857</v>
      </c>
      <c r="AL48" s="781">
        <f t="shared" si="13"/>
        <v>-3129292.1922478941</v>
      </c>
      <c r="AM48" s="781">
        <f t="shared" si="13"/>
        <v>-232404832.52771401</v>
      </c>
      <c r="AN48" s="781">
        <f t="shared" si="13"/>
        <v>1761931966.8535061</v>
      </c>
      <c r="AO48" s="783">
        <f t="shared" si="13"/>
        <v>1994336799.3812201</v>
      </c>
      <c r="AP48" s="781">
        <f t="shared" si="13"/>
        <v>-232404832.52771401</v>
      </c>
      <c r="AQ48" s="781">
        <f t="shared" si="13"/>
        <v>1761931966.8535056</v>
      </c>
      <c r="AR48" s="782">
        <f t="shared" si="13"/>
        <v>54868871.510633998</v>
      </c>
      <c r="AS48" s="781">
        <f t="shared" si="13"/>
        <v>1816800838.36414</v>
      </c>
      <c r="AT48" s="780"/>
      <c r="AU48" s="779"/>
      <c r="AV48" s="778">
        <f>SUM(AV31:AV47)</f>
        <v>28848971.391677998</v>
      </c>
      <c r="AW48" s="778">
        <f>SUM(AW31:AW47)</f>
        <v>26019900.118956</v>
      </c>
    </row>
    <row r="49" spans="1:50">
      <c r="A49" s="756">
        <f t="shared" si="0"/>
        <v>33</v>
      </c>
      <c r="C49" s="752"/>
      <c r="D49" s="752" t="s">
        <v>15</v>
      </c>
      <c r="E49" s="752" t="s">
        <v>15</v>
      </c>
      <c r="F49" s="752"/>
      <c r="G49" s="752" t="s">
        <v>15</v>
      </c>
      <c r="H49" s="752" t="s">
        <v>15</v>
      </c>
      <c r="I49" s="752"/>
      <c r="J49" s="752"/>
      <c r="K49" s="752" t="s">
        <v>15</v>
      </c>
      <c r="L49" s="752"/>
      <c r="M49" s="752" t="s">
        <v>15</v>
      </c>
      <c r="N49" s="752" t="s">
        <v>15</v>
      </c>
      <c r="O49" s="752" t="s">
        <v>15</v>
      </c>
      <c r="P49" s="752" t="s">
        <v>15</v>
      </c>
      <c r="Q49" s="752"/>
      <c r="R49" s="752"/>
      <c r="S49" s="752" t="s">
        <v>15</v>
      </c>
      <c r="T49" s="752" t="s">
        <v>15</v>
      </c>
      <c r="U49" s="752" t="s">
        <v>15</v>
      </c>
      <c r="V49" s="752" t="s">
        <v>15</v>
      </c>
      <c r="W49" s="752"/>
      <c r="X49" s="752"/>
      <c r="Y49" s="752"/>
      <c r="Z49" s="752" t="s">
        <v>15</v>
      </c>
      <c r="AA49" s="752" t="s">
        <v>15</v>
      </c>
      <c r="AB49" s="752"/>
      <c r="AC49" s="752"/>
      <c r="AD49" s="752" t="s">
        <v>15</v>
      </c>
      <c r="AE49" s="752"/>
      <c r="AF49" s="752"/>
      <c r="AG49" s="752"/>
      <c r="AH49" s="752"/>
      <c r="AI49" s="752"/>
      <c r="AJ49" s="752"/>
      <c r="AK49" s="752"/>
      <c r="AL49" s="752"/>
      <c r="AM49" s="752"/>
      <c r="AN49" s="752"/>
      <c r="AO49" s="762"/>
      <c r="AP49" s="752"/>
      <c r="AQ49" s="752"/>
      <c r="AR49" s="762"/>
      <c r="AS49" s="752"/>
      <c r="AT49" s="752"/>
      <c r="AV49" s="752"/>
      <c r="AW49" s="752"/>
    </row>
    <row r="50" spans="1:50" ht="13.5">
      <c r="A50" s="756">
        <f t="shared" si="0"/>
        <v>34</v>
      </c>
      <c r="B50" s="769" t="s">
        <v>19</v>
      </c>
      <c r="C50" s="763">
        <f t="shared" ref="C50:AS50" si="14">C22-C48</f>
        <v>401002971.69877887</v>
      </c>
      <c r="D50" s="763">
        <f t="shared" si="14"/>
        <v>-29139113.529240973</v>
      </c>
      <c r="E50" s="763">
        <f t="shared" si="14"/>
        <v>17527344</v>
      </c>
      <c r="F50" s="763">
        <f t="shared" si="14"/>
        <v>-1000540.3107059002</v>
      </c>
      <c r="G50" s="763">
        <f t="shared" si="14"/>
        <v>-27023238.806572676</v>
      </c>
      <c r="H50" s="773">
        <f t="shared" si="14"/>
        <v>53347930.4173996</v>
      </c>
      <c r="I50" s="763">
        <f t="shared" si="14"/>
        <v>-34610611.020140424</v>
      </c>
      <c r="J50" s="763">
        <f t="shared" si="14"/>
        <v>69387.278670666696</v>
      </c>
      <c r="K50" s="773">
        <f t="shared" si="14"/>
        <v>681065</v>
      </c>
      <c r="L50" s="773">
        <f t="shared" si="14"/>
        <v>-109903.18925372648</v>
      </c>
      <c r="M50" s="763">
        <f t="shared" si="14"/>
        <v>16141.122864383684</v>
      </c>
      <c r="N50" s="773">
        <f t="shared" si="14"/>
        <v>-176605.63064400846</v>
      </c>
      <c r="O50" s="763">
        <f t="shared" si="14"/>
        <v>-264904.5667814</v>
      </c>
      <c r="P50" s="763">
        <f t="shared" si="14"/>
        <v>171199.77983333383</v>
      </c>
      <c r="Q50" s="763">
        <f t="shared" si="14"/>
        <v>66147.120545911268</v>
      </c>
      <c r="R50" s="763">
        <f t="shared" si="14"/>
        <v>-1184945.4451730854</v>
      </c>
      <c r="S50" s="773">
        <f t="shared" si="14"/>
        <v>-1357715.5890578774</v>
      </c>
      <c r="T50" s="773">
        <f t="shared" si="14"/>
        <v>-96704.676397892646</v>
      </c>
      <c r="U50" s="763">
        <f t="shared" si="14"/>
        <v>-121750.92923393101</v>
      </c>
      <c r="V50" s="763">
        <f t="shared" si="14"/>
        <v>-924675.04937016219</v>
      </c>
      <c r="W50" s="763">
        <f t="shared" si="14"/>
        <v>-3087501.2730555004</v>
      </c>
      <c r="X50" s="763">
        <f t="shared" si="14"/>
        <v>434046.43987045588</v>
      </c>
      <c r="Y50" s="763">
        <f t="shared" si="14"/>
        <v>10262.31709798798</v>
      </c>
      <c r="Z50" s="773">
        <f t="shared" si="14"/>
        <v>-14772509.684517041</v>
      </c>
      <c r="AA50" s="773">
        <f t="shared" si="14"/>
        <v>61133.271335334284</v>
      </c>
      <c r="AB50" s="763">
        <f t="shared" si="14"/>
        <v>137890.37865459672</v>
      </c>
      <c r="AC50" s="763">
        <f t="shared" si="14"/>
        <v>-41672583.95949994</v>
      </c>
      <c r="AD50" s="773">
        <f t="shared" si="14"/>
        <v>-8389017.6852083318</v>
      </c>
      <c r="AE50" s="763">
        <f t="shared" si="14"/>
        <v>1736211.9514499884</v>
      </c>
      <c r="AF50" s="763">
        <f t="shared" si="14"/>
        <v>-145490.32262849354</v>
      </c>
      <c r="AG50" s="763">
        <f t="shared" si="14"/>
        <v>-3492716.8900000006</v>
      </c>
      <c r="AH50" s="763">
        <f t="shared" si="14"/>
        <v>2156.0948424596518</v>
      </c>
      <c r="AI50" s="776">
        <f t="shared" si="14"/>
        <v>0</v>
      </c>
      <c r="AJ50" s="773">
        <f t="shared" si="14"/>
        <v>-3288310.2380116768</v>
      </c>
      <c r="AK50" s="763">
        <f t="shared" si="14"/>
        <v>-2131857</v>
      </c>
      <c r="AL50" s="773">
        <f t="shared" si="14"/>
        <v>3129292.1922478941</v>
      </c>
      <c r="AM50" s="773">
        <f t="shared" si="14"/>
        <v>-95600488.430680394</v>
      </c>
      <c r="AN50" s="773">
        <f t="shared" si="14"/>
        <v>305402483.26809835</v>
      </c>
      <c r="AO50" s="763">
        <f t="shared" si="14"/>
        <v>401002971.69877887</v>
      </c>
      <c r="AP50" s="773">
        <f t="shared" si="14"/>
        <v>-95600488.430680394</v>
      </c>
      <c r="AQ50" s="773">
        <f t="shared" si="14"/>
        <v>305402483.26809859</v>
      </c>
      <c r="AR50" s="773">
        <f t="shared" si="14"/>
        <v>89163194.489365995</v>
      </c>
      <c r="AS50" s="773">
        <f t="shared" si="14"/>
        <v>394565677.75746489</v>
      </c>
      <c r="AT50" s="764"/>
      <c r="AU50" s="777"/>
      <c r="AV50" s="776">
        <f>AV22-AV48</f>
        <v>46880250.608322002</v>
      </c>
      <c r="AW50" s="776">
        <f>AW22-AW48</f>
        <v>42282943.881044</v>
      </c>
      <c r="AX50" s="745"/>
    </row>
    <row r="51" spans="1:50">
      <c r="A51" s="756">
        <f t="shared" si="0"/>
        <v>35</v>
      </c>
      <c r="C51" s="774"/>
      <c r="D51" s="774"/>
      <c r="E51" s="774"/>
      <c r="F51" s="774"/>
      <c r="G51" s="774"/>
      <c r="H51" s="774"/>
      <c r="I51" s="774"/>
      <c r="J51" s="774"/>
      <c r="K51" s="774"/>
      <c r="L51" s="774"/>
      <c r="M51" s="774"/>
      <c r="N51" s="774"/>
      <c r="O51" s="774"/>
      <c r="P51" s="774"/>
      <c r="Q51" s="774"/>
      <c r="R51" s="774"/>
      <c r="S51" s="774"/>
      <c r="T51" s="774"/>
      <c r="U51" s="774"/>
      <c r="V51" s="774"/>
      <c r="W51" s="774"/>
      <c r="X51" s="774"/>
      <c r="Y51" s="774"/>
      <c r="Z51" s="774"/>
      <c r="AA51" s="774"/>
      <c r="AB51" s="774"/>
      <c r="AC51" s="774"/>
      <c r="AD51" s="774"/>
      <c r="AE51" s="774"/>
      <c r="AF51" s="774"/>
      <c r="AG51" s="774"/>
      <c r="AH51" s="774"/>
      <c r="AI51" s="774"/>
      <c r="AJ51" s="774"/>
      <c r="AK51" s="774"/>
      <c r="AL51" s="774"/>
      <c r="AM51" s="774"/>
      <c r="AN51" s="774"/>
      <c r="AO51" s="774"/>
      <c r="AP51" s="774"/>
      <c r="AQ51" s="774" t="s">
        <v>15</v>
      </c>
      <c r="AR51" s="774"/>
      <c r="AS51" s="774" t="s">
        <v>15</v>
      </c>
      <c r="AT51" s="774"/>
      <c r="AU51" s="775"/>
      <c r="AV51" s="774"/>
      <c r="AW51" s="774"/>
    </row>
    <row r="52" spans="1:50" ht="13.5">
      <c r="A52" s="756">
        <f t="shared" si="0"/>
        <v>36</v>
      </c>
      <c r="B52" s="769" t="s">
        <v>18</v>
      </c>
      <c r="C52" s="763">
        <f>C63</f>
        <v>5153204461.5858841</v>
      </c>
      <c r="D52" s="763">
        <v>0</v>
      </c>
      <c r="E52" s="757">
        <v>0</v>
      </c>
      <c r="F52" s="757">
        <v>0</v>
      </c>
      <c r="G52" s="757">
        <f>G63</f>
        <v>0</v>
      </c>
      <c r="H52" s="757">
        <v>0</v>
      </c>
      <c r="I52" s="763">
        <f>I63</f>
        <v>-17305305.510070205</v>
      </c>
      <c r="J52" s="763">
        <v>0</v>
      </c>
      <c r="K52" s="763">
        <v>0</v>
      </c>
      <c r="L52" s="763">
        <v>0</v>
      </c>
      <c r="M52" s="763">
        <v>0</v>
      </c>
      <c r="N52" s="763">
        <v>0</v>
      </c>
      <c r="O52" s="763">
        <v>0</v>
      </c>
      <c r="P52" s="763">
        <v>0</v>
      </c>
      <c r="Q52" s="763">
        <v>0</v>
      </c>
      <c r="R52" s="763">
        <v>0</v>
      </c>
      <c r="S52" s="763">
        <v>0</v>
      </c>
      <c r="T52" s="763">
        <v>0</v>
      </c>
      <c r="U52" s="763">
        <v>0</v>
      </c>
      <c r="V52" s="763">
        <v>0</v>
      </c>
      <c r="W52" s="763">
        <v>0</v>
      </c>
      <c r="X52" s="763">
        <f>X63</f>
        <v>15915060.097866783</v>
      </c>
      <c r="Y52" s="763">
        <f>Y63</f>
        <v>0</v>
      </c>
      <c r="Z52" s="763">
        <v>0</v>
      </c>
      <c r="AA52" s="763">
        <v>0</v>
      </c>
      <c r="AB52" s="763">
        <v>-1969341.3363122563</v>
      </c>
      <c r="AC52" s="763">
        <v>0</v>
      </c>
      <c r="AD52" s="763">
        <v>0</v>
      </c>
      <c r="AE52" s="763">
        <f t="shared" ref="AE52:AK52" si="15">AE63</f>
        <v>-44085326.485419184</v>
      </c>
      <c r="AF52" s="763">
        <f t="shared" si="15"/>
        <v>2842787.0613208562</v>
      </c>
      <c r="AG52" s="763">
        <f t="shared" si="15"/>
        <v>5131869.0972135225</v>
      </c>
      <c r="AH52" s="763">
        <f t="shared" si="15"/>
        <v>18140954.4063752</v>
      </c>
      <c r="AI52" s="763">
        <f t="shared" si="15"/>
        <v>19004590.008907948</v>
      </c>
      <c r="AJ52" s="773">
        <f t="shared" si="15"/>
        <v>-4108724.3018971421</v>
      </c>
      <c r="AK52" s="763">
        <f t="shared" si="15"/>
        <v>5739614.9999999851</v>
      </c>
      <c r="AL52" s="773">
        <v>-54762869.208236404</v>
      </c>
      <c r="AM52" s="773">
        <f>SUM(D52:AL52)</f>
        <v>-55456691.1702509</v>
      </c>
      <c r="AN52" s="773">
        <f>+AM52+C52</f>
        <v>5097747770.4156332</v>
      </c>
      <c r="AO52" s="762">
        <f>C52</f>
        <v>5153204461.5858841</v>
      </c>
      <c r="AP52" s="760">
        <f>AM52</f>
        <v>-55456691.1702509</v>
      </c>
      <c r="AQ52" s="760">
        <f>AN52</f>
        <v>5097747770.4156332</v>
      </c>
      <c r="AR52" s="762">
        <v>0</v>
      </c>
      <c r="AS52" s="772">
        <f>SUM(AQ52:AR52)</f>
        <v>5097747770.4156332</v>
      </c>
      <c r="AT52" s="752"/>
      <c r="AV52" s="771"/>
      <c r="AW52" s="771"/>
    </row>
    <row r="53" spans="1:50">
      <c r="A53" s="756">
        <f t="shared" si="0"/>
        <v>37</v>
      </c>
      <c r="C53" s="764"/>
      <c r="D53" s="764"/>
      <c r="E53" s="764"/>
      <c r="F53" s="764"/>
      <c r="G53" s="764"/>
      <c r="H53" s="764"/>
      <c r="I53" s="764"/>
      <c r="J53" s="764"/>
      <c r="K53" s="764"/>
      <c r="L53" s="764"/>
      <c r="M53" s="764"/>
      <c r="N53" s="764"/>
      <c r="O53" s="764"/>
      <c r="P53" s="764"/>
      <c r="Q53" s="764"/>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70"/>
      <c r="AV53" s="764"/>
      <c r="AW53" s="764"/>
    </row>
    <row r="54" spans="1:50" ht="13.5">
      <c r="A54" s="756">
        <f t="shared" si="0"/>
        <v>38</v>
      </c>
      <c r="B54" s="769" t="s">
        <v>17</v>
      </c>
      <c r="C54" s="766">
        <f>C50/C52</f>
        <v>7.7816235448839796E-2</v>
      </c>
      <c r="D54" s="757"/>
      <c r="E54" s="757"/>
      <c r="F54" s="757"/>
      <c r="G54" s="757"/>
      <c r="H54" s="757"/>
      <c r="I54" s="757"/>
      <c r="J54" s="757"/>
      <c r="K54" s="757"/>
      <c r="L54" s="757"/>
      <c r="M54" s="757"/>
      <c r="N54" s="757"/>
      <c r="O54" s="757"/>
      <c r="P54" s="757"/>
      <c r="Q54" s="757"/>
      <c r="R54" s="757"/>
      <c r="S54" s="757"/>
      <c r="T54" s="757"/>
      <c r="U54" s="757"/>
      <c r="V54" s="757"/>
      <c r="W54" s="757"/>
      <c r="X54" s="757"/>
      <c r="Y54" s="757"/>
      <c r="Z54" s="757"/>
      <c r="AA54" s="757"/>
      <c r="AB54" s="757"/>
      <c r="AC54" s="757"/>
      <c r="AD54" s="757"/>
      <c r="AE54" s="757"/>
      <c r="AF54" s="757"/>
      <c r="AG54" s="757"/>
      <c r="AH54" s="757"/>
      <c r="AI54" s="757"/>
      <c r="AJ54" s="757"/>
      <c r="AK54" s="757"/>
      <c r="AL54" s="757"/>
      <c r="AM54" s="757"/>
      <c r="AN54" s="768">
        <f>AN50/AN52</f>
        <v>5.9909296619278997E-2</v>
      </c>
      <c r="AO54" s="766">
        <f>AO50/AO52</f>
        <v>7.7816235448839796E-2</v>
      </c>
      <c r="AP54" s="757"/>
      <c r="AQ54" s="768">
        <f>AQ50/AQ52</f>
        <v>5.9909296619279045E-2</v>
      </c>
      <c r="AR54" s="757"/>
      <c r="AS54" s="766">
        <f>AS50/AS52</f>
        <v>7.7400000064203819E-2</v>
      </c>
      <c r="AT54" s="767"/>
      <c r="AV54" s="766"/>
      <c r="AW54" s="765"/>
    </row>
    <row r="55" spans="1:50">
      <c r="A55" s="756">
        <f t="shared" si="0"/>
        <v>39</v>
      </c>
      <c r="C55" s="764"/>
      <c r="D55" s="764"/>
      <c r="E55" s="764"/>
      <c r="F55" s="764"/>
      <c r="G55" s="764"/>
      <c r="H55" s="764"/>
      <c r="I55" s="764"/>
      <c r="J55" s="764"/>
      <c r="K55" s="764"/>
      <c r="L55" s="764"/>
      <c r="M55" s="764"/>
      <c r="N55" s="764"/>
      <c r="O55" s="764"/>
      <c r="P55" s="764"/>
      <c r="Q55" s="764"/>
      <c r="R55" s="764"/>
      <c r="S55" s="764"/>
      <c r="T55" s="764"/>
      <c r="U55" s="764"/>
      <c r="V55" s="764"/>
      <c r="W55" s="764"/>
      <c r="X55" s="764"/>
      <c r="Y55" s="764"/>
      <c r="Z55" s="764"/>
      <c r="AA55" s="764"/>
      <c r="AB55" s="764"/>
      <c r="AC55" s="764"/>
      <c r="AD55" s="764"/>
      <c r="AE55" s="764"/>
      <c r="AF55" s="764"/>
      <c r="AG55" s="764"/>
      <c r="AH55" s="764"/>
      <c r="AI55" s="764"/>
      <c r="AJ55" s="764"/>
      <c r="AK55" s="764"/>
      <c r="AL55" s="764"/>
      <c r="AM55" s="764"/>
      <c r="AN55" s="764"/>
      <c r="AO55" s="764"/>
      <c r="AP55" s="764"/>
      <c r="AQ55" s="764"/>
      <c r="AR55" s="764" t="s">
        <v>15</v>
      </c>
      <c r="AS55" s="764"/>
      <c r="AV55" s="764"/>
      <c r="AW55" s="764"/>
    </row>
    <row r="56" spans="1:50">
      <c r="A56" s="756">
        <f t="shared" si="0"/>
        <v>40</v>
      </c>
      <c r="B56" s="739" t="s">
        <v>16</v>
      </c>
      <c r="C56" s="764"/>
      <c r="D56" s="764"/>
      <c r="E56" s="764"/>
      <c r="F56" s="764"/>
      <c r="G56" s="764"/>
      <c r="H56" s="764"/>
      <c r="I56" s="764"/>
      <c r="J56" s="764"/>
      <c r="K56" s="764"/>
      <c r="L56" s="764"/>
      <c r="M56" s="764"/>
      <c r="N56" s="764"/>
      <c r="O56" s="764"/>
      <c r="P56" s="764"/>
      <c r="Q56" s="764"/>
      <c r="R56" s="764"/>
      <c r="S56" s="764"/>
      <c r="T56" s="764"/>
      <c r="U56" s="764"/>
      <c r="V56" s="764"/>
      <c r="W56" s="764"/>
      <c r="X56" s="764"/>
      <c r="Y56" s="764"/>
      <c r="Z56" s="764"/>
      <c r="AA56" s="764"/>
      <c r="AB56" s="764"/>
      <c r="AC56" s="764"/>
      <c r="AD56" s="764"/>
      <c r="AE56" s="764"/>
      <c r="AF56" s="764"/>
      <c r="AG56" s="764"/>
      <c r="AH56" s="764"/>
      <c r="AI56" s="764"/>
      <c r="AJ56" s="764"/>
      <c r="AK56" s="764"/>
      <c r="AL56" s="764"/>
      <c r="AM56" s="764"/>
      <c r="AN56" s="764"/>
      <c r="AO56" s="764"/>
      <c r="AP56" s="764"/>
      <c r="AQ56" s="764"/>
      <c r="AR56" s="764" t="s">
        <v>15</v>
      </c>
      <c r="AS56" s="764"/>
      <c r="AV56" s="764"/>
      <c r="AW56" s="764"/>
    </row>
    <row r="57" spans="1:50">
      <c r="A57" s="756">
        <f t="shared" si="0"/>
        <v>41</v>
      </c>
      <c r="B57" s="761" t="s">
        <v>14</v>
      </c>
      <c r="C57" s="763">
        <v>9760401506.5440865</v>
      </c>
      <c r="D57" s="763">
        <v>0</v>
      </c>
      <c r="E57" s="757">
        <v>0</v>
      </c>
      <c r="F57" s="757">
        <v>0</v>
      </c>
      <c r="G57" s="757">
        <v>0</v>
      </c>
      <c r="H57" s="757">
        <v>0</v>
      </c>
      <c r="I57" s="763">
        <v>0</v>
      </c>
      <c r="J57" s="763">
        <v>0</v>
      </c>
      <c r="K57" s="763">
        <v>0</v>
      </c>
      <c r="L57" s="763">
        <v>0</v>
      </c>
      <c r="M57" s="763">
        <v>0</v>
      </c>
      <c r="N57" s="763">
        <v>0</v>
      </c>
      <c r="O57" s="763">
        <v>0</v>
      </c>
      <c r="P57" s="763">
        <f>+P52</f>
        <v>0</v>
      </c>
      <c r="Q57" s="763">
        <v>0</v>
      </c>
      <c r="R57" s="763">
        <v>0</v>
      </c>
      <c r="S57" s="763">
        <v>0</v>
      </c>
      <c r="T57" s="763">
        <v>0</v>
      </c>
      <c r="U57" s="763">
        <v>0</v>
      </c>
      <c r="V57" s="763">
        <v>0</v>
      </c>
      <c r="W57" s="763">
        <v>0</v>
      </c>
      <c r="X57" s="763">
        <v>15741420.734608332</v>
      </c>
      <c r="Y57" s="763"/>
      <c r="Z57" s="763">
        <v>0</v>
      </c>
      <c r="AA57" s="763">
        <v>0</v>
      </c>
      <c r="AB57" s="763">
        <v>-4539303</v>
      </c>
      <c r="AC57" s="763">
        <v>0</v>
      </c>
      <c r="AD57" s="763">
        <v>0</v>
      </c>
      <c r="AE57" s="763"/>
      <c r="AF57" s="763">
        <v>5283142.6882666685</v>
      </c>
      <c r="AG57" s="763">
        <v>16120231.800000003</v>
      </c>
      <c r="AH57" s="763">
        <v>-46656.627500012517</v>
      </c>
      <c r="AI57" s="763">
        <v>24765516.030000001</v>
      </c>
      <c r="AJ57" s="763">
        <v>45432.020000000004</v>
      </c>
      <c r="AK57" s="763"/>
      <c r="AL57" s="763">
        <f>AL52-AL60-AL59-AL58</f>
        <v>-107887484</v>
      </c>
      <c r="AM57" s="763">
        <f t="shared" ref="AM57:AM63" si="16">SUM(D57:AL57)</f>
        <v>-50517700.354625009</v>
      </c>
      <c r="AN57" s="757">
        <f t="shared" ref="AN57:AN62" si="17">+AM57+C57</f>
        <v>9709883806.1894608</v>
      </c>
      <c r="AO57" s="762">
        <f t="shared" ref="AO57:AO62" si="18">C57</f>
        <v>9760401506.5440865</v>
      </c>
      <c r="AP57" s="757">
        <f t="shared" ref="AP57:AP62" si="19">+AM57</f>
        <v>-50517700.354625009</v>
      </c>
      <c r="AQ57" s="757">
        <f t="shared" ref="AQ57:AQ62" si="20">+AP57+AO57</f>
        <v>9709883806.1894608</v>
      </c>
      <c r="AR57" s="762"/>
      <c r="AS57" s="762">
        <f t="shared" ref="AS57:AS62" si="21">SUM(AQ57:AR57)</f>
        <v>9709883806.1894608</v>
      </c>
      <c r="AT57" s="752"/>
      <c r="AV57" s="762"/>
      <c r="AW57" s="762"/>
    </row>
    <row r="58" spans="1:50">
      <c r="A58" s="756">
        <f t="shared" si="0"/>
        <v>42</v>
      </c>
      <c r="B58" s="761" t="s">
        <v>13</v>
      </c>
      <c r="C58" s="758">
        <v>-3743804806.4787149</v>
      </c>
      <c r="D58" s="757"/>
      <c r="E58" s="757"/>
      <c r="F58" s="757"/>
      <c r="G58" s="757"/>
      <c r="H58" s="757"/>
      <c r="I58" s="757">
        <v>-26623546.938569557</v>
      </c>
      <c r="J58" s="757"/>
      <c r="K58" s="757"/>
      <c r="L58" s="757"/>
      <c r="M58" s="757"/>
      <c r="N58" s="757"/>
      <c r="O58" s="757"/>
      <c r="P58" s="757"/>
      <c r="Q58" s="757"/>
      <c r="R58" s="757"/>
      <c r="S58" s="757"/>
      <c r="T58" s="757"/>
      <c r="U58" s="757"/>
      <c r="V58" s="757"/>
      <c r="W58" s="757"/>
      <c r="X58" s="757">
        <v>-101363.37640134411</v>
      </c>
      <c r="Y58" s="757"/>
      <c r="Z58" s="757"/>
      <c r="AA58" s="757"/>
      <c r="AB58" s="757">
        <v>1590015.6893272984</v>
      </c>
      <c r="AC58" s="757"/>
      <c r="AD58" s="757"/>
      <c r="AE58" s="757"/>
      <c r="AF58" s="757">
        <v>-723725.33830972295</v>
      </c>
      <c r="AG58" s="757">
        <v>-9403468.5500000026</v>
      </c>
      <c r="AH58" s="757">
        <v>21111912.982080221</v>
      </c>
      <c r="AI58" s="757">
        <v>-1572187.2608600797</v>
      </c>
      <c r="AJ58" s="757"/>
      <c r="AK58" s="757">
        <v>-95819883.979849756</v>
      </c>
      <c r="AL58" s="757">
        <v>46486223</v>
      </c>
      <c r="AM58" s="757">
        <f t="shared" si="16"/>
        <v>-65056023.772582948</v>
      </c>
      <c r="AN58" s="757">
        <f t="shared" si="17"/>
        <v>-3808860830.251298</v>
      </c>
      <c r="AO58" s="757">
        <f t="shared" si="18"/>
        <v>-3743804806.4787149</v>
      </c>
      <c r="AP58" s="757">
        <f t="shared" si="19"/>
        <v>-65056023.772582948</v>
      </c>
      <c r="AQ58" s="757">
        <f t="shared" si="20"/>
        <v>-3808860830.251298</v>
      </c>
      <c r="AR58" s="757"/>
      <c r="AS58" s="757">
        <f t="shared" si="21"/>
        <v>-3808860830.251298</v>
      </c>
      <c r="AT58" s="752"/>
      <c r="AV58" s="757"/>
      <c r="AW58" s="757"/>
    </row>
    <row r="59" spans="1:50" ht="13.5">
      <c r="A59" s="756">
        <f t="shared" si="0"/>
        <v>43</v>
      </c>
      <c r="B59" s="739" t="s">
        <v>12</v>
      </c>
      <c r="C59" s="758">
        <v>253258620.21125004</v>
      </c>
      <c r="D59" s="757"/>
      <c r="E59" s="757"/>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v>-58945766.064063393</v>
      </c>
      <c r="AF59" s="757"/>
      <c r="AG59" s="757"/>
      <c r="AH59" s="757"/>
      <c r="AI59" s="757"/>
      <c r="AJ59" s="760">
        <v>-6391009.9764316082</v>
      </c>
      <c r="AK59" s="757">
        <v>101559498.97984974</v>
      </c>
      <c r="AL59" s="760">
        <v>-5141543.2082364038</v>
      </c>
      <c r="AM59" s="760">
        <f t="shared" si="16"/>
        <v>31081179.731118336</v>
      </c>
      <c r="AN59" s="760">
        <f t="shared" si="17"/>
        <v>284339799.94236839</v>
      </c>
      <c r="AO59" s="757">
        <f t="shared" si="18"/>
        <v>253258620.21125004</v>
      </c>
      <c r="AP59" s="760">
        <f t="shared" si="19"/>
        <v>31081179.731118336</v>
      </c>
      <c r="AQ59" s="760">
        <f t="shared" si="20"/>
        <v>284339799.94236839</v>
      </c>
      <c r="AR59" s="757"/>
      <c r="AS59" s="760">
        <f t="shared" si="21"/>
        <v>284339799.94236839</v>
      </c>
      <c r="AT59" s="752"/>
      <c r="AV59" s="759"/>
      <c r="AW59" s="759"/>
    </row>
    <row r="60" spans="1:50" ht="13.5">
      <c r="A60" s="756">
        <f t="shared" si="0"/>
        <v>44</v>
      </c>
      <c r="B60" s="739" t="s">
        <v>11</v>
      </c>
      <c r="C60" s="758">
        <v>-1263932467.6059232</v>
      </c>
      <c r="D60" s="757"/>
      <c r="E60" s="757"/>
      <c r="F60" s="757"/>
      <c r="G60" s="757">
        <v>0</v>
      </c>
      <c r="H60" s="757"/>
      <c r="I60" s="757">
        <v>9318241.4284993522</v>
      </c>
      <c r="J60" s="757"/>
      <c r="K60" s="757"/>
      <c r="L60" s="757"/>
      <c r="M60" s="757"/>
      <c r="N60" s="757"/>
      <c r="O60" s="757"/>
      <c r="P60" s="757"/>
      <c r="Q60" s="757"/>
      <c r="R60" s="757"/>
      <c r="S60" s="757"/>
      <c r="T60" s="757"/>
      <c r="U60" s="757"/>
      <c r="V60" s="757"/>
      <c r="W60" s="757"/>
      <c r="X60" s="757">
        <v>275002.73965979565</v>
      </c>
      <c r="Y60" s="757"/>
      <c r="Z60" s="757"/>
      <c r="AA60" s="757"/>
      <c r="AB60" s="757">
        <v>979945.97436044563</v>
      </c>
      <c r="AC60" s="757"/>
      <c r="AD60" s="757"/>
      <c r="AE60" s="757">
        <v>14860439.578644209</v>
      </c>
      <c r="AF60" s="757">
        <v>-1716630.2886360891</v>
      </c>
      <c r="AG60" s="757">
        <v>-1584894.1527864772</v>
      </c>
      <c r="AH60" s="757">
        <v>-2924301.9482050105</v>
      </c>
      <c r="AI60" s="757">
        <v>-4188738.7602319769</v>
      </c>
      <c r="AJ60" s="760">
        <v>2236853.6545344666</v>
      </c>
      <c r="AK60" s="757"/>
      <c r="AL60" s="757">
        <v>11779935</v>
      </c>
      <c r="AM60" s="760">
        <f t="shared" si="16"/>
        <v>29035853.225838713</v>
      </c>
      <c r="AN60" s="760">
        <f t="shared" si="17"/>
        <v>-1234896614.3800845</v>
      </c>
      <c r="AO60" s="757">
        <f t="shared" si="18"/>
        <v>-1263932467.6059232</v>
      </c>
      <c r="AP60" s="760">
        <f t="shared" si="19"/>
        <v>29035853.225838713</v>
      </c>
      <c r="AQ60" s="760">
        <f t="shared" si="20"/>
        <v>-1234896614.3800845</v>
      </c>
      <c r="AR60" s="757"/>
      <c r="AS60" s="760">
        <f t="shared" si="21"/>
        <v>-1234896614.3800845</v>
      </c>
      <c r="AT60" s="752"/>
      <c r="AV60" s="759"/>
      <c r="AW60" s="759"/>
    </row>
    <row r="61" spans="1:50">
      <c r="A61" s="756">
        <f t="shared" si="0"/>
        <v>45</v>
      </c>
      <c r="B61" s="739" t="s">
        <v>10</v>
      </c>
      <c r="C61" s="758">
        <v>227005241.70228952</v>
      </c>
      <c r="D61" s="757"/>
      <c r="E61" s="757"/>
      <c r="F61" s="757"/>
      <c r="G61" s="757"/>
      <c r="H61" s="757"/>
      <c r="I61" s="757"/>
      <c r="J61" s="757"/>
      <c r="K61" s="757"/>
      <c r="L61" s="757"/>
      <c r="M61" s="757">
        <v>0</v>
      </c>
      <c r="N61" s="757">
        <v>0</v>
      </c>
      <c r="O61" s="757"/>
      <c r="P61" s="757"/>
      <c r="Q61" s="757"/>
      <c r="R61" s="757"/>
      <c r="S61" s="757"/>
      <c r="T61" s="757"/>
      <c r="U61" s="757"/>
      <c r="V61" s="757"/>
      <c r="W61" s="757"/>
      <c r="X61" s="757"/>
      <c r="Y61" s="757"/>
      <c r="Z61" s="757"/>
      <c r="AA61" s="757"/>
      <c r="AB61" s="757"/>
      <c r="AC61" s="757"/>
      <c r="AD61" s="757"/>
      <c r="AE61" s="757"/>
      <c r="AF61" s="757"/>
      <c r="AG61" s="757"/>
      <c r="AH61" s="757"/>
      <c r="AI61" s="757"/>
      <c r="AJ61" s="757"/>
      <c r="AK61" s="757"/>
      <c r="AL61" s="757"/>
      <c r="AM61" s="757">
        <f t="shared" si="16"/>
        <v>0</v>
      </c>
      <c r="AN61" s="757">
        <f t="shared" si="17"/>
        <v>227005241.70228952</v>
      </c>
      <c r="AO61" s="757">
        <f t="shared" si="18"/>
        <v>227005241.70228952</v>
      </c>
      <c r="AP61" s="757">
        <f t="shared" si="19"/>
        <v>0</v>
      </c>
      <c r="AQ61" s="757">
        <f t="shared" si="20"/>
        <v>227005241.70228952</v>
      </c>
      <c r="AR61" s="757"/>
      <c r="AS61" s="757">
        <f t="shared" si="21"/>
        <v>227005241.70228952</v>
      </c>
      <c r="AT61" s="752"/>
      <c r="AV61" s="757"/>
      <c r="AW61" s="757"/>
    </row>
    <row r="62" spans="1:50">
      <c r="A62" s="756">
        <f t="shared" si="0"/>
        <v>46</v>
      </c>
      <c r="B62" s="739" t="s">
        <v>9</v>
      </c>
      <c r="C62" s="758">
        <v>-79723632.787103415</v>
      </c>
      <c r="D62" s="757"/>
      <c r="E62" s="757"/>
      <c r="F62" s="757"/>
      <c r="G62" s="757"/>
      <c r="H62" s="757"/>
      <c r="I62" s="757"/>
      <c r="J62" s="757"/>
      <c r="K62" s="757"/>
      <c r="L62" s="757"/>
      <c r="M62" s="757"/>
      <c r="N62" s="757"/>
      <c r="O62" s="757"/>
      <c r="P62" s="757"/>
      <c r="Q62" s="757"/>
      <c r="R62" s="757"/>
      <c r="S62" s="757"/>
      <c r="T62" s="757"/>
      <c r="U62" s="757"/>
      <c r="V62" s="757"/>
      <c r="W62" s="757"/>
      <c r="X62" s="757"/>
      <c r="Y62" s="757"/>
      <c r="Z62" s="757"/>
      <c r="AA62" s="757"/>
      <c r="AB62" s="757"/>
      <c r="AC62" s="757"/>
      <c r="AD62" s="757"/>
      <c r="AE62" s="757"/>
      <c r="AF62" s="757"/>
      <c r="AG62" s="757"/>
      <c r="AH62" s="757"/>
      <c r="AI62" s="757"/>
      <c r="AJ62" s="757"/>
      <c r="AK62" s="757"/>
      <c r="AL62" s="757"/>
      <c r="AM62" s="757">
        <f t="shared" si="16"/>
        <v>0</v>
      </c>
      <c r="AN62" s="757">
        <f t="shared" si="17"/>
        <v>-79723632.787103415</v>
      </c>
      <c r="AO62" s="757">
        <f t="shared" si="18"/>
        <v>-79723632.787103415</v>
      </c>
      <c r="AP62" s="757">
        <f t="shared" si="19"/>
        <v>0</v>
      </c>
      <c r="AQ62" s="757">
        <f t="shared" si="20"/>
        <v>-79723632.787103415</v>
      </c>
      <c r="AR62" s="757"/>
      <c r="AS62" s="757">
        <f t="shared" si="21"/>
        <v>-79723632.787103415</v>
      </c>
      <c r="AT62" s="752"/>
      <c r="AV62" s="757"/>
      <c r="AW62" s="757"/>
    </row>
    <row r="63" spans="1:50" ht="19.5" customHeight="1" thickBot="1">
      <c r="A63" s="756">
        <f t="shared" si="0"/>
        <v>47</v>
      </c>
      <c r="B63" s="739" t="s">
        <v>8</v>
      </c>
      <c r="C63" s="755">
        <f t="shared" ref="C63:AL63" si="22">SUM(C57:C62)</f>
        <v>5153204461.5858841</v>
      </c>
      <c r="D63" s="755">
        <f t="shared" si="22"/>
        <v>0</v>
      </c>
      <c r="E63" s="755">
        <f t="shared" si="22"/>
        <v>0</v>
      </c>
      <c r="F63" s="755">
        <f t="shared" si="22"/>
        <v>0</v>
      </c>
      <c r="G63" s="755">
        <f t="shared" si="22"/>
        <v>0</v>
      </c>
      <c r="H63" s="755">
        <f t="shared" si="22"/>
        <v>0</v>
      </c>
      <c r="I63" s="755">
        <f t="shared" si="22"/>
        <v>-17305305.510070205</v>
      </c>
      <c r="J63" s="755">
        <f t="shared" si="22"/>
        <v>0</v>
      </c>
      <c r="K63" s="755">
        <f t="shared" si="22"/>
        <v>0</v>
      </c>
      <c r="L63" s="755">
        <f t="shared" si="22"/>
        <v>0</v>
      </c>
      <c r="M63" s="755">
        <f t="shared" si="22"/>
        <v>0</v>
      </c>
      <c r="N63" s="755">
        <f t="shared" si="22"/>
        <v>0</v>
      </c>
      <c r="O63" s="755">
        <f t="shared" si="22"/>
        <v>0</v>
      </c>
      <c r="P63" s="755">
        <f t="shared" si="22"/>
        <v>0</v>
      </c>
      <c r="Q63" s="755">
        <f t="shared" si="22"/>
        <v>0</v>
      </c>
      <c r="R63" s="755">
        <f t="shared" si="22"/>
        <v>0</v>
      </c>
      <c r="S63" s="755">
        <f t="shared" si="22"/>
        <v>0</v>
      </c>
      <c r="T63" s="755">
        <f t="shared" si="22"/>
        <v>0</v>
      </c>
      <c r="U63" s="755">
        <f t="shared" si="22"/>
        <v>0</v>
      </c>
      <c r="V63" s="755">
        <f t="shared" si="22"/>
        <v>0</v>
      </c>
      <c r="W63" s="755">
        <f t="shared" si="22"/>
        <v>0</v>
      </c>
      <c r="X63" s="755">
        <f t="shared" si="22"/>
        <v>15915060.097866783</v>
      </c>
      <c r="Y63" s="755">
        <f t="shared" si="22"/>
        <v>0</v>
      </c>
      <c r="Z63" s="755">
        <f t="shared" si="22"/>
        <v>0</v>
      </c>
      <c r="AA63" s="755">
        <f t="shared" si="22"/>
        <v>0</v>
      </c>
      <c r="AB63" s="755">
        <f t="shared" si="22"/>
        <v>-1969341.3363122558</v>
      </c>
      <c r="AC63" s="755">
        <f t="shared" si="22"/>
        <v>0</v>
      </c>
      <c r="AD63" s="755">
        <f t="shared" si="22"/>
        <v>0</v>
      </c>
      <c r="AE63" s="755">
        <f t="shared" si="22"/>
        <v>-44085326.485419184</v>
      </c>
      <c r="AF63" s="755">
        <f t="shared" si="22"/>
        <v>2842787.0613208562</v>
      </c>
      <c r="AG63" s="755">
        <f t="shared" si="22"/>
        <v>5131869.0972135225</v>
      </c>
      <c r="AH63" s="755">
        <f t="shared" si="22"/>
        <v>18140954.4063752</v>
      </c>
      <c r="AI63" s="755">
        <f t="shared" si="22"/>
        <v>19004590.008907948</v>
      </c>
      <c r="AJ63" s="753">
        <f t="shared" si="22"/>
        <v>-4108724.3018971421</v>
      </c>
      <c r="AK63" s="755">
        <f t="shared" si="22"/>
        <v>5739614.9999999851</v>
      </c>
      <c r="AL63" s="753">
        <f t="shared" si="22"/>
        <v>-54762869.208236404</v>
      </c>
      <c r="AM63" s="753">
        <f t="shared" si="16"/>
        <v>-55456691.1702509</v>
      </c>
      <c r="AN63" s="753">
        <f>SUM(AN57:AN62)</f>
        <v>5097747770.4156322</v>
      </c>
      <c r="AO63" s="755">
        <f>SUM(AO57:AO62)</f>
        <v>5153204461.5858841</v>
      </c>
      <c r="AP63" s="753">
        <f>SUM(AP57:AP62)</f>
        <v>-55456691.170250915</v>
      </c>
      <c r="AQ63" s="753">
        <f>SUM(AQ57:AQ62)</f>
        <v>5097747770.4156322</v>
      </c>
      <c r="AR63" s="754"/>
      <c r="AS63" s="753">
        <f>SUM(AS57:AS62)</f>
        <v>5097747770.4156322</v>
      </c>
      <c r="AT63" s="752"/>
      <c r="AV63" s="751"/>
      <c r="AW63" s="751"/>
    </row>
    <row r="64" spans="1:50" ht="23.25" customHeight="1" thickTop="1">
      <c r="A64" s="750"/>
      <c r="B64" s="737"/>
      <c r="C64" s="738"/>
      <c r="D64" s="738"/>
      <c r="E64" s="738"/>
      <c r="F64" s="738"/>
      <c r="G64" s="738"/>
      <c r="H64" s="738"/>
      <c r="I64" s="738"/>
      <c r="J64" s="749" t="s">
        <v>186</v>
      </c>
      <c r="K64" s="738"/>
      <c r="L64" s="738"/>
      <c r="M64" s="738"/>
      <c r="N64" s="738"/>
      <c r="O64" s="738"/>
      <c r="P64" s="738"/>
      <c r="Q64" s="738"/>
      <c r="R64" s="738"/>
      <c r="S64" s="749" t="s">
        <v>186</v>
      </c>
      <c r="T64" s="738"/>
      <c r="U64" s="738"/>
      <c r="V64" s="738"/>
      <c r="W64" s="738"/>
      <c r="X64" s="738"/>
      <c r="Y64" s="738"/>
      <c r="Z64" s="749" t="s">
        <v>186</v>
      </c>
      <c r="AA64" s="738"/>
      <c r="AB64" s="738"/>
      <c r="AC64" s="738"/>
      <c r="AD64" s="738"/>
      <c r="AE64" s="738"/>
      <c r="AF64" s="737"/>
      <c r="AG64" s="738"/>
      <c r="AH64" s="749" t="s">
        <v>186</v>
      </c>
      <c r="AI64" s="738"/>
      <c r="AJ64" s="738"/>
      <c r="AK64" s="738"/>
      <c r="AL64" s="738"/>
      <c r="AM64" s="738"/>
      <c r="AN64" s="738"/>
      <c r="AO64" s="749" t="s">
        <v>186</v>
      </c>
      <c r="AP64" s="738"/>
      <c r="AQ64" s="738"/>
      <c r="AS64" s="748"/>
      <c r="AT64" s="748"/>
      <c r="AV64" s="748"/>
      <c r="AW64" s="748"/>
    </row>
    <row r="65" spans="1:49">
      <c r="A65" s="737"/>
      <c r="B65" s="737"/>
      <c r="C65" s="737"/>
      <c r="D65" s="737"/>
      <c r="E65" s="737"/>
      <c r="F65" s="737"/>
      <c r="G65" s="737"/>
      <c r="H65" s="737"/>
      <c r="I65" s="737"/>
      <c r="J65" s="737"/>
      <c r="K65" s="737"/>
      <c r="L65" s="737"/>
      <c r="M65" s="737"/>
      <c r="N65" s="737"/>
      <c r="O65" s="737"/>
      <c r="P65" s="737"/>
      <c r="Q65" s="737"/>
      <c r="R65" s="737"/>
      <c r="S65" s="737"/>
      <c r="T65" s="737"/>
      <c r="U65" s="737"/>
      <c r="V65" s="737"/>
      <c r="W65" s="737"/>
      <c r="X65" s="737"/>
      <c r="Y65" s="737"/>
      <c r="Z65" s="737"/>
      <c r="AA65" s="737"/>
      <c r="AB65" s="737"/>
      <c r="AC65" s="737"/>
      <c r="AD65" s="737"/>
      <c r="AE65" s="737"/>
      <c r="AF65" s="737"/>
      <c r="AG65" s="737"/>
      <c r="AH65" s="737"/>
      <c r="AI65" s="737"/>
      <c r="AJ65" s="737"/>
      <c r="AK65" s="737"/>
      <c r="AL65" s="737"/>
      <c r="AU65" s="737"/>
      <c r="AV65" s="748"/>
      <c r="AW65" s="748"/>
    </row>
    <row r="66" spans="1:49">
      <c r="A66" s="737"/>
      <c r="B66" s="737"/>
      <c r="C66" s="737"/>
      <c r="D66" s="737"/>
      <c r="E66" s="737"/>
      <c r="F66" s="737"/>
      <c r="G66" s="737"/>
      <c r="H66" s="737"/>
      <c r="I66" s="737"/>
      <c r="J66" s="737"/>
      <c r="K66" s="737"/>
      <c r="L66" s="737"/>
      <c r="M66" s="737"/>
      <c r="N66" s="737"/>
      <c r="O66" s="737"/>
      <c r="P66" s="737"/>
      <c r="Q66" s="737"/>
      <c r="R66" s="737"/>
      <c r="S66" s="737"/>
      <c r="T66" s="737"/>
      <c r="U66" s="737"/>
      <c r="V66" s="737"/>
      <c r="W66" s="737"/>
      <c r="X66" s="737"/>
      <c r="Y66" s="737"/>
      <c r="Z66" s="737"/>
      <c r="AA66" s="737"/>
      <c r="AB66" s="737"/>
      <c r="AC66" s="737"/>
      <c r="AD66" s="737"/>
      <c r="AE66" s="737"/>
      <c r="AF66" s="737"/>
      <c r="AG66" s="737"/>
      <c r="AH66" s="737"/>
      <c r="AI66" s="737"/>
      <c r="AJ66" s="737"/>
      <c r="AK66" s="737"/>
      <c r="AL66" s="737"/>
      <c r="AU66" s="737"/>
      <c r="AV66" s="747"/>
      <c r="AW66" s="747"/>
    </row>
    <row r="67" spans="1:49">
      <c r="A67" s="737"/>
      <c r="B67" s="737"/>
      <c r="C67" s="737"/>
      <c r="D67" s="737"/>
      <c r="E67" s="737"/>
      <c r="F67" s="737"/>
      <c r="G67" s="737"/>
      <c r="H67" s="737"/>
      <c r="I67" s="737"/>
      <c r="J67" s="737"/>
      <c r="K67" s="737"/>
      <c r="L67" s="737"/>
      <c r="M67" s="737"/>
      <c r="N67" s="737"/>
      <c r="O67" s="737"/>
      <c r="P67" s="737"/>
      <c r="Q67" s="737"/>
      <c r="R67" s="737"/>
      <c r="S67" s="737"/>
      <c r="T67" s="737"/>
      <c r="U67" s="737"/>
      <c r="V67" s="737"/>
      <c r="W67" s="737"/>
      <c r="X67" s="737"/>
      <c r="Y67" s="737"/>
      <c r="Z67" s="737"/>
      <c r="AA67" s="737"/>
      <c r="AB67" s="737"/>
      <c r="AC67" s="737"/>
      <c r="AD67" s="737"/>
      <c r="AE67" s="737"/>
      <c r="AF67" s="737"/>
      <c r="AG67" s="737"/>
      <c r="AH67" s="737"/>
      <c r="AI67" s="737"/>
      <c r="AJ67" s="737"/>
      <c r="AK67" s="737"/>
      <c r="AL67" s="737"/>
      <c r="AU67" s="737"/>
      <c r="AV67" s="746"/>
      <c r="AW67" s="746"/>
    </row>
    <row r="68" spans="1:49">
      <c r="A68" s="737"/>
      <c r="B68" s="737"/>
      <c r="C68" s="737"/>
      <c r="D68" s="737"/>
      <c r="E68" s="737"/>
      <c r="F68" s="737"/>
      <c r="G68" s="737"/>
      <c r="H68" s="737"/>
      <c r="I68" s="737"/>
      <c r="J68" s="737"/>
      <c r="K68" s="737"/>
      <c r="L68" s="737"/>
      <c r="M68" s="737"/>
      <c r="N68" s="737"/>
      <c r="O68" s="737"/>
      <c r="P68" s="737"/>
      <c r="Q68" s="737"/>
      <c r="R68" s="737"/>
      <c r="S68" s="737"/>
      <c r="T68" s="737"/>
      <c r="U68" s="737"/>
      <c r="V68" s="737"/>
      <c r="W68" s="737"/>
      <c r="X68" s="737"/>
      <c r="Y68" s="737"/>
      <c r="Z68" s="737"/>
      <c r="AA68" s="737"/>
      <c r="AB68" s="737"/>
      <c r="AC68" s="737"/>
      <c r="AD68" s="737"/>
      <c r="AE68" s="737"/>
      <c r="AF68" s="737"/>
      <c r="AG68" s="737"/>
      <c r="AH68" s="737"/>
      <c r="AI68" s="737"/>
      <c r="AJ68" s="737"/>
      <c r="AK68" s="737"/>
      <c r="AL68" s="737"/>
      <c r="AU68" s="737"/>
      <c r="AV68" s="738"/>
      <c r="AW68" s="738"/>
    </row>
    <row r="69" spans="1:49">
      <c r="AU69" s="737"/>
      <c r="AV69" s="738"/>
      <c r="AW69" s="738"/>
    </row>
    <row r="70" spans="1:49">
      <c r="AU70" s="737"/>
      <c r="AV70" s="738"/>
      <c r="AW70" s="738"/>
    </row>
    <row r="71" spans="1:49">
      <c r="AV71" s="745"/>
      <c r="AW71" s="745"/>
    </row>
    <row r="72" spans="1:49">
      <c r="AV72" s="738"/>
      <c r="AW72" s="738"/>
    </row>
    <row r="73" spans="1:49">
      <c r="AV73" s="738"/>
      <c r="AW73" s="738"/>
    </row>
    <row r="74" spans="1:49">
      <c r="AV74" s="738"/>
      <c r="AW74" s="738"/>
    </row>
    <row r="75" spans="1:49">
      <c r="AV75" s="743"/>
      <c r="AW75" s="743"/>
    </row>
    <row r="76" spans="1:49">
      <c r="AV76" s="744"/>
      <c r="AW76" s="744"/>
    </row>
    <row r="77" spans="1:49">
      <c r="AV77" s="743"/>
      <c r="AW77" s="743"/>
    </row>
    <row r="78" spans="1:49">
      <c r="AV78" s="742"/>
      <c r="AW78" s="742"/>
    </row>
    <row r="79" spans="1:49">
      <c r="AV79" s="738"/>
      <c r="AW79" s="738"/>
    </row>
    <row r="80" spans="1:49">
      <c r="AV80" s="738"/>
      <c r="AW80" s="738"/>
    </row>
    <row r="81" spans="48:49">
      <c r="AV81" s="738"/>
      <c r="AW81" s="738"/>
    </row>
    <row r="82" spans="48:49">
      <c r="AV82" s="738"/>
      <c r="AW82" s="738"/>
    </row>
    <row r="83" spans="48:49">
      <c r="AV83" s="738"/>
      <c r="AW83" s="738"/>
    </row>
    <row r="84" spans="48:49">
      <c r="AV84" s="738"/>
      <c r="AW84" s="738"/>
    </row>
    <row r="85" spans="48:49">
      <c r="AV85" s="738"/>
      <c r="AW85" s="738"/>
    </row>
    <row r="86" spans="48:49">
      <c r="AV86" s="738"/>
      <c r="AW86" s="738"/>
    </row>
    <row r="87" spans="48:49">
      <c r="AV87" s="738"/>
      <c r="AW87" s="738"/>
    </row>
    <row r="88" spans="48:49">
      <c r="AV88" s="738"/>
      <c r="AW88" s="738"/>
    </row>
    <row r="89" spans="48:49">
      <c r="AV89" s="738"/>
      <c r="AW89" s="738"/>
    </row>
    <row r="90" spans="48:49">
      <c r="AV90" s="738"/>
      <c r="AW90" s="738"/>
    </row>
    <row r="91" spans="48:49">
      <c r="AV91" s="738"/>
      <c r="AW91" s="738"/>
    </row>
    <row r="92" spans="48:49">
      <c r="AV92" s="738"/>
      <c r="AW92" s="738"/>
    </row>
    <row r="93" spans="48:49">
      <c r="AV93" s="738"/>
      <c r="AW93" s="738"/>
    </row>
    <row r="94" spans="48:49">
      <c r="AV94" s="738"/>
      <c r="AW94" s="738"/>
    </row>
    <row r="95" spans="48:49">
      <c r="AV95" s="738"/>
      <c r="AW95" s="738"/>
    </row>
    <row r="96" spans="48:49">
      <c r="AV96" s="738"/>
      <c r="AW96" s="738"/>
    </row>
  </sheetData>
  <mergeCells count="19">
    <mergeCell ref="J9:Q9"/>
    <mergeCell ref="R9:Y9"/>
    <mergeCell ref="Z9:AG9"/>
    <mergeCell ref="AH9:AN9"/>
    <mergeCell ref="A2:B2"/>
    <mergeCell ref="A3:B3"/>
    <mergeCell ref="AH7:AN7"/>
    <mergeCell ref="J7:Q7"/>
    <mergeCell ref="R7:Y7"/>
    <mergeCell ref="Z7:AG7"/>
    <mergeCell ref="J8:Q8"/>
    <mergeCell ref="R8:Y8"/>
    <mergeCell ref="Z8:AG8"/>
    <mergeCell ref="AH8:AN8"/>
    <mergeCell ref="AV5:AX5"/>
    <mergeCell ref="J6:Q6"/>
    <mergeCell ref="R6:Y6"/>
    <mergeCell ref="Z6:AG6"/>
    <mergeCell ref="AH6:AN6"/>
  </mergeCells>
  <pageMargins left="1.5" right="0.21" top="1" bottom="0.57999999999999996" header="0.4" footer="0.31"/>
  <pageSetup scale="53" orientation="landscape" r:id="rId1"/>
  <headerFooter alignWithMargins="0"/>
  <colBreaks count="5" manualBreakCount="5">
    <brk id="9" max="63" man="1"/>
    <brk id="17" max="63" man="1"/>
    <brk id="25" max="63" man="1"/>
    <brk id="33" max="63" man="1"/>
    <brk id="40" max="63"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18D2FBB09848246B6FD4A5A815592E3" ma:contentTypeVersion="104" ma:contentTypeDescription="" ma:contentTypeScope="" ma:versionID="c5c772d1368efef941e1eb543e9ac6b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88f51cce7439777dbacc0aa8de4abac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2017-01-13T08:00:00+00:00</OpenedDate>
    <Date1 xmlns="dc463f71-b30c-4ab2-9473-d307f9d35888">2017-08-08T21:52:42+00:00</Date1>
    <IsDocumentOrder xmlns="dc463f71-b30c-4ab2-9473-d307f9d35888" xsi:nil="true"/>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170033</DocketNumber>
    <DelegatedOrder xmlns="dc463f71-b30c-4ab2-9473-d307f9d35888">false</DelegatedOrder>
    <SignificantOrder xmlns="dc463f71-b30c-4ab2-9473-d307f9d35888">false</SignificantOrder>
  </documentManagement>
</p:properti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AA83A901-2A8D-4678-AD5D-92BD00FC952A}"/>
</file>

<file path=customXml/itemProps2.xml><?xml version="1.0" encoding="utf-8"?>
<ds:datastoreItem xmlns:ds="http://schemas.openxmlformats.org/officeDocument/2006/customXml" ds:itemID="{B7074A32-6E91-453E-99E5-E485C68C8B90}">
  <ds:schemaRefs>
    <ds:schemaRef ds:uri="http://schemas.microsoft.com/sharepoint/v3/contenttype/forms"/>
  </ds:schemaRefs>
</ds:datastoreItem>
</file>

<file path=customXml/itemProps3.xml><?xml version="1.0" encoding="utf-8"?>
<ds:datastoreItem xmlns:ds="http://schemas.openxmlformats.org/officeDocument/2006/customXml" ds:itemID="{2679B384-BF28-4E10-B02E-225FBD0234DF}">
  <ds:schemaRefs>
    <ds:schemaRef ds:uri="http://purl.org/dc/elements/1.1/"/>
    <ds:schemaRef ds:uri="http://schemas.microsoft.com/office/2006/metadata/properties"/>
    <ds:schemaRef ds:uri="http://schemas.microsoft.com/office/infopath/2007/PartnerControls"/>
    <ds:schemaRef ds:uri="http://purl.org/dc/terms/"/>
    <ds:schemaRef ds:uri="24f70c62-691b-492e-ba59-9d389529a97e"/>
    <ds:schemaRef ds:uri="http://schemas.openxmlformats.org/package/2006/metadata/core-properties"/>
    <ds:schemaRef ds:uri="http://schemas.microsoft.com/office/2006/documentManagement/types"/>
    <ds:schemaRef ds:uri="http://schemas.microsoft.com/sharepoint/v3/fields"/>
    <ds:schemaRef ds:uri="http://www.w3.org/XML/1998/namespace"/>
    <ds:schemaRef ds:uri="http://purl.org/dc/dcmitype/"/>
  </ds:schemaRefs>
</ds:datastoreItem>
</file>

<file path=customXml/itemProps4.xml><?xml version="1.0" encoding="utf-8"?>
<ds:datastoreItem xmlns:ds="http://schemas.openxmlformats.org/officeDocument/2006/customXml" ds:itemID="{80FA5891-26F6-4AEF-BBE4-256CA919CE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64</vt:i4>
      </vt:variant>
    </vt:vector>
  </HeadingPairs>
  <TitlesOfParts>
    <vt:vector size="71" baseType="lpstr">
      <vt:lpstr>MCC-2r page 1-6</vt:lpstr>
      <vt:lpstr>MCC-2r page 7-30</vt:lpstr>
      <vt:lpstr>MCC-2r page 31-45</vt:lpstr>
      <vt:lpstr>EXHIBIT MCC-3r</vt:lpstr>
      <vt:lpstr>EXHIBIT MCC-4r</vt:lpstr>
      <vt:lpstr>EXHIBIT MCC-5r</vt:lpstr>
      <vt:lpstr>EXHIBIT MCC-6</vt:lpstr>
      <vt:lpstr>Case_Name</vt:lpstr>
      <vt:lpstr>ConversionFactor</vt:lpstr>
      <vt:lpstr>'EXHIBIT MCC-3r'!k_3.01_Deficiency</vt:lpstr>
      <vt:lpstr>'EXHIBIT MCC-3r'!k_3.02_COC</vt:lpstr>
      <vt:lpstr>k_3.03_ConvFact</vt:lpstr>
      <vt:lpstr>k_6.01_RevAndExp</vt:lpstr>
      <vt:lpstr>k_6.02_Temp_Norm</vt:lpstr>
      <vt:lpstr>k_6.03_Pass_through_Rev_Exp</vt:lpstr>
      <vt:lpstr>k_6.04_Federal_Income_Tax</vt:lpstr>
      <vt:lpstr>k_6.05_Tax_Benefit_Interest</vt:lpstr>
      <vt:lpstr>k_6.06_Depreciation_Study</vt:lpstr>
      <vt:lpstr>k_6.07_Norm_Injuries_Damages</vt:lpstr>
      <vt:lpstr>k_6.08_Bad_Debts</vt:lpstr>
      <vt:lpstr>k_6.09_Incentive_Pay</vt:lpstr>
      <vt:lpstr>k_6.10_Directors_Officers_Insurance</vt:lpstr>
      <vt:lpstr>k_6.11_Int_Customer_Deposits</vt:lpstr>
      <vt:lpstr>k_6.12_Rate_Case_Expenses</vt:lpstr>
      <vt:lpstr>k_6.13_Defferred_Gains_Losses</vt:lpstr>
      <vt:lpstr>k_6.14_Property_Liability_Insurance</vt:lpstr>
      <vt:lpstr>k_6.15_Pension_Plan</vt:lpstr>
      <vt:lpstr>k_6.16_Wage_Increase</vt:lpstr>
      <vt:lpstr>k_6.17_Investment_Plan</vt:lpstr>
      <vt:lpstr>k_6.18_Employee_Insurance</vt:lpstr>
      <vt:lpstr>k_6.19_EnvironmRemediation</vt:lpstr>
      <vt:lpstr>k_6.20_PaymentProc_Cost</vt:lpstr>
      <vt:lpstr>k_6.21_SoKservCent</vt:lpstr>
      <vt:lpstr>k_6.22_ExcTax</vt:lpstr>
      <vt:lpstr>k_7.01_Power_Costs</vt:lpstr>
      <vt:lpstr>k_7.02_Montana</vt:lpstr>
      <vt:lpstr>k_7.03_Wild_Hors_Sol</vt:lpstr>
      <vt:lpstr>k_7.04_ASC_815</vt:lpstr>
      <vt:lpstr>k_7.05_storm</vt:lpstr>
      <vt:lpstr>k_7.06_Reg_Asset</vt:lpstr>
      <vt:lpstr>k_7.07_Glacier_Bat_St</vt:lpstr>
      <vt:lpstr>k_7.08_EIM</vt:lpstr>
      <vt:lpstr>k_7.09_GoldendaleCU</vt:lpstr>
      <vt:lpstr>k_7.10_MintFarm_CU</vt:lpstr>
      <vt:lpstr>k_7.11_White_River</vt:lpstr>
      <vt:lpstr>k_7.12_Hydro_Grants</vt:lpstr>
      <vt:lpstr>k_7.13_Productn_Adj</vt:lpstr>
      <vt:lpstr>k_Docket_Number</vt:lpstr>
      <vt:lpstr>k_FITrate</vt:lpstr>
      <vt:lpstr>keep_KJB_4_Electric_Summary</vt:lpstr>
      <vt:lpstr>keep_STATE_UTILITY_TAX</vt:lpstr>
      <vt:lpstr>keep_TESTYEAR</vt:lpstr>
      <vt:lpstr>keep_WUTC_FILING_FEE</vt:lpstr>
      <vt:lpstr>kp_Summary</vt:lpstr>
      <vt:lpstr>kp_SumPg1</vt:lpstr>
      <vt:lpstr>kp_SumPg2</vt:lpstr>
      <vt:lpstr>kp_SumPg3</vt:lpstr>
      <vt:lpstr>kp_SumPg4</vt:lpstr>
      <vt:lpstr>kp_SumPg5</vt:lpstr>
      <vt:lpstr>'EXHIBIT MCC-3r'!Print_Area</vt:lpstr>
      <vt:lpstr>'EXHIBIT MCC-4r'!Print_Area</vt:lpstr>
      <vt:lpstr>'EXHIBIT MCC-5r'!Print_Area</vt:lpstr>
      <vt:lpstr>'EXHIBIT MCC-6'!Print_Area</vt:lpstr>
      <vt:lpstr>'MCC-2r page 1-6'!Print_Area</vt:lpstr>
      <vt:lpstr>'MCC-2r page 31-45'!Print_Area</vt:lpstr>
      <vt:lpstr>'MCC-2r page 7-30'!Print_Area</vt:lpstr>
      <vt:lpstr>'EXHIBIT MCC-5r'!Print_Titles</vt:lpstr>
      <vt:lpstr>'EXHIBIT MCC-6'!Print_Titles</vt:lpstr>
      <vt:lpstr>'MCC-2r page 1-6'!Print_Titles</vt:lpstr>
      <vt:lpstr>'MCC-2r page 31-45'!Print_Titles</vt:lpstr>
      <vt:lpstr>ROR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REVISED MCC-2r-6</dc:title>
  <dc:creator>Melissa Cheesman</dc:creator>
  <dc:description/>
  <cp:lastModifiedBy>Melissa Cheesman</cp:lastModifiedBy>
  <cp:lastPrinted>2017-08-07T19:13:48Z</cp:lastPrinted>
  <dcterms:created xsi:type="dcterms:W3CDTF">2017-07-28T18:15:36Z</dcterms:created>
  <dcterms:modified xsi:type="dcterms:W3CDTF">2017-08-07T20:22:10Z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0x0101006E56B4D1795A2E4DB2F0B01679ED314A00718D2FBB09848246B6FD4A5A815592E3</vt:lpwstr>
  </property>
  <property fmtid="{D5CDD505-2E9C-101B-9397-08002B2CF9AE}" pid="3" name="_docset_NoMedatataSyncRequired">
    <vt:lpwstr>False</vt:lpwstr>
  </property>
  <property fmtid="{D5CDD505-2E9C-101B-9397-08002B2CF9AE}" pid="4" name="IsEFSEC">
    <vt:bool>false</vt:bool>
  </property>
</Properties>
</file>