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9320" windowHeight="12120" activeTab="5"/>
  </bookViews>
  <sheets>
    <sheet name="JHS-7 Ex A-1" sheetId="1" r:id="rId1"/>
    <sheet name="JHS-7 Ex A-2" sheetId="2" r:id="rId2"/>
    <sheet name="JHS-7 Ex A-3 Colstrip" sheetId="3" r:id="rId3"/>
    <sheet name="JHS-7 Ex A-4 Prod Adj" sheetId="4" r:id="rId4"/>
    <sheet name="JHS-7 Ex A-5 PC" sheetId="5" r:id="rId5"/>
    <sheet name="JHS-7 Exhibit D" sheetId="6" r:id="rId6"/>
  </sheets>
  <externalReferences>
    <externalReference r:id="rId9"/>
    <externalReference r:id="rId10"/>
  </externalReferences>
  <definedNames>
    <definedName name="__123Graph_ECURRENT" hidden="1">#N/A</definedName>
    <definedName name="_Fill" hidden="1">#REF!</definedName>
    <definedName name="_Order1" hidden="1">255</definedName>
    <definedName name="_Order2" hidden="1">255</definedName>
    <definedName name="_xlfn.BAHTTEXT" hidden="1">#NAME?</definedName>
    <definedName name="a" localSheetId="1" hidden="1">{#N/A,#N/A,FALSE,"Coversheet";#N/A,#N/A,FALSE,"QA"}</definedName>
    <definedName name="a" localSheetId="2" hidden="1">{#N/A,#N/A,FALSE,"Coversheet";#N/A,#N/A,FALSE,"QA"}</definedName>
    <definedName name="a" localSheetId="3" hidden="1">{#N/A,#N/A,FALSE,"Coversheet";#N/A,#N/A,FALSE,"QA"}</definedName>
    <definedName name="a" localSheetId="4" hidden="1">{#N/A,#N/A,FALSE,"Coversheet";#N/A,#N/A,FALSE,"QA"}</definedName>
    <definedName name="a" localSheetId="5" hidden="1">{#N/A,#N/A,FALSE,"Coversheet";#N/A,#N/A,FALSE,"QA"}</definedName>
    <definedName name="a" hidden="1">{#N/A,#N/A,FALSE,"Coversheet";#N/A,#N/A,FALSE,"QA"}</definedName>
    <definedName name="AccessDatabase" hidden="1">"I:\COMTREL\FINICLE\TradeSummary.mdb"</definedName>
    <definedName name="b" localSheetId="1" hidden="1">{#N/A,#N/A,FALSE,"Coversheet";#N/A,#N/A,FALSE,"QA"}</definedName>
    <definedName name="b" localSheetId="2" hidden="1">{#N/A,#N/A,FALSE,"Coversheet";#N/A,#N/A,FALSE,"QA"}</definedName>
    <definedName name="b" localSheetId="3" hidden="1">{#N/A,#N/A,FALSE,"Coversheet";#N/A,#N/A,FALSE,"QA"}</definedName>
    <definedName name="b" localSheetId="4" hidden="1">{#N/A,#N/A,FALSE,"Coversheet";#N/A,#N/A,FALSE,"QA"}</definedName>
    <definedName name="b" localSheetId="5" hidden="1">{#N/A,#N/A,FALSE,"Coversheet";#N/A,#N/A,FALSE,"QA"}</definedName>
    <definedName name="b" hidden="1">{#N/A,#N/A,FALSE,"Coversheet";#N/A,#N/A,FALSE,"QA"}</definedName>
    <definedName name="CBWorkbookPriority" hidden="1">-2060790043</definedName>
    <definedName name="DELETE01" localSheetId="1" hidden="1">{#N/A,#N/A,FALSE,"Coversheet";#N/A,#N/A,FALSE,"QA"}</definedName>
    <definedName name="DELETE01" localSheetId="2" hidden="1">{#N/A,#N/A,FALSE,"Coversheet";#N/A,#N/A,FALSE,"QA"}</definedName>
    <definedName name="DELETE01" localSheetId="3" hidden="1">{#N/A,#N/A,FALSE,"Coversheet";#N/A,#N/A,FALSE,"QA"}</definedName>
    <definedName name="DELETE01" localSheetId="4" hidden="1">{#N/A,#N/A,FALSE,"Coversheet";#N/A,#N/A,FALSE,"QA"}</definedName>
    <definedName name="DELETE01" localSheetId="5" hidden="1">{#N/A,#N/A,FALSE,"Coversheet";#N/A,#N/A,FALSE,"QA"}</definedName>
    <definedName name="DELETE01" hidden="1">{#N/A,#N/A,FALSE,"Coversheet";#N/A,#N/A,FALSE,"QA"}</definedName>
    <definedName name="DELETE02" localSheetId="1" hidden="1">{#N/A,#N/A,FALSE,"Schedule F";#N/A,#N/A,FALSE,"Schedule G"}</definedName>
    <definedName name="DELETE02" localSheetId="2" hidden="1">{#N/A,#N/A,FALSE,"Schedule F";#N/A,#N/A,FALSE,"Schedule G"}</definedName>
    <definedName name="DELETE02" localSheetId="3" hidden="1">{#N/A,#N/A,FALSE,"Schedule F";#N/A,#N/A,FALSE,"Schedule G"}</definedName>
    <definedName name="DELETE02" localSheetId="4" hidden="1">{#N/A,#N/A,FALSE,"Schedule F";#N/A,#N/A,FALSE,"Schedule G"}</definedName>
    <definedName name="DELETE02" localSheetId="5" hidden="1">{#N/A,#N/A,FALSE,"Schedule F";#N/A,#N/A,FALSE,"Schedule G"}</definedName>
    <definedName name="DELETE02" hidden="1">{#N/A,#N/A,FALSE,"Schedule F";#N/A,#N/A,FALSE,"Schedule G"}</definedName>
    <definedName name="Delete06" localSheetId="1" hidden="1">{#N/A,#N/A,FALSE,"Coversheet";#N/A,#N/A,FALSE,"QA"}</definedName>
    <definedName name="Delete06" localSheetId="2" hidden="1">{#N/A,#N/A,FALSE,"Coversheet";#N/A,#N/A,FALSE,"QA"}</definedName>
    <definedName name="Delete06" localSheetId="3" hidden="1">{#N/A,#N/A,FALSE,"Coversheet";#N/A,#N/A,FALSE,"QA"}</definedName>
    <definedName name="Delete06" localSheetId="4" hidden="1">{#N/A,#N/A,FALSE,"Coversheet";#N/A,#N/A,FALSE,"QA"}</definedName>
    <definedName name="Delete06" localSheetId="5" hidden="1">{#N/A,#N/A,FALSE,"Coversheet";#N/A,#N/A,FALSE,"QA"}</definedName>
    <definedName name="Delete06" hidden="1">{#N/A,#N/A,FALSE,"Coversheet";#N/A,#N/A,FALSE,"QA"}</definedName>
    <definedName name="Delete09" localSheetId="1" hidden="1">{#N/A,#N/A,FALSE,"Coversheet";#N/A,#N/A,FALSE,"QA"}</definedName>
    <definedName name="Delete09" localSheetId="2" hidden="1">{#N/A,#N/A,FALSE,"Coversheet";#N/A,#N/A,FALSE,"QA"}</definedName>
    <definedName name="Delete09" localSheetId="3" hidden="1">{#N/A,#N/A,FALSE,"Coversheet";#N/A,#N/A,FALSE,"QA"}</definedName>
    <definedName name="Delete09" localSheetId="4" hidden="1">{#N/A,#N/A,FALSE,"Coversheet";#N/A,#N/A,FALSE,"QA"}</definedName>
    <definedName name="Delete09" localSheetId="5" hidden="1">{#N/A,#N/A,FALSE,"Coversheet";#N/A,#N/A,FALSE,"QA"}</definedName>
    <definedName name="Delete09" hidden="1">{#N/A,#N/A,FALSE,"Coversheet";#N/A,#N/A,FALSE,"QA"}</definedName>
    <definedName name="Delete1" localSheetId="1" hidden="1">{#N/A,#N/A,FALSE,"Coversheet";#N/A,#N/A,FALSE,"QA"}</definedName>
    <definedName name="Delete1" localSheetId="2" hidden="1">{#N/A,#N/A,FALSE,"Coversheet";#N/A,#N/A,FALSE,"QA"}</definedName>
    <definedName name="Delete1" localSheetId="3" hidden="1">{#N/A,#N/A,FALSE,"Coversheet";#N/A,#N/A,FALSE,"QA"}</definedName>
    <definedName name="Delete1" localSheetId="4" hidden="1">{#N/A,#N/A,FALSE,"Coversheet";#N/A,#N/A,FALSE,"QA"}</definedName>
    <definedName name="Delete1" localSheetId="5" hidden="1">{#N/A,#N/A,FALSE,"Coversheet";#N/A,#N/A,FALSE,"QA"}</definedName>
    <definedName name="Delete1" hidden="1">{#N/A,#N/A,FALSE,"Coversheet";#N/A,#N/A,FALSE,"QA"}</definedName>
    <definedName name="Delete10" localSheetId="1" hidden="1">{#N/A,#N/A,FALSE,"Schedule F";#N/A,#N/A,FALSE,"Schedule G"}</definedName>
    <definedName name="Delete10" localSheetId="2" hidden="1">{#N/A,#N/A,FALSE,"Schedule F";#N/A,#N/A,FALSE,"Schedule G"}</definedName>
    <definedName name="Delete10" localSheetId="3" hidden="1">{#N/A,#N/A,FALSE,"Schedule F";#N/A,#N/A,FALSE,"Schedule G"}</definedName>
    <definedName name="Delete10" localSheetId="4" hidden="1">{#N/A,#N/A,FALSE,"Schedule F";#N/A,#N/A,FALSE,"Schedule G"}</definedName>
    <definedName name="Delete10" localSheetId="5" hidden="1">{#N/A,#N/A,FALSE,"Schedule F";#N/A,#N/A,FALSE,"Schedule G"}</definedName>
    <definedName name="Delete10" hidden="1">{#N/A,#N/A,FALSE,"Schedule F";#N/A,#N/A,FALSE,"Schedule G"}</definedName>
    <definedName name="Delete21" localSheetId="1" hidden="1">{#N/A,#N/A,FALSE,"Coversheet";#N/A,#N/A,FALSE,"QA"}</definedName>
    <definedName name="Delete21" localSheetId="2" hidden="1">{#N/A,#N/A,FALSE,"Coversheet";#N/A,#N/A,FALSE,"QA"}</definedName>
    <definedName name="Delete21" localSheetId="3" hidden="1">{#N/A,#N/A,FALSE,"Coversheet";#N/A,#N/A,FALSE,"QA"}</definedName>
    <definedName name="Delete21" localSheetId="4" hidden="1">{#N/A,#N/A,FALSE,"Coversheet";#N/A,#N/A,FALSE,"QA"}</definedName>
    <definedName name="Delete21" localSheetId="5" hidden="1">{#N/A,#N/A,FALSE,"Coversheet";#N/A,#N/A,FALSE,"QA"}</definedName>
    <definedName name="Delete21" hidden="1">{#N/A,#N/A,FALSE,"Coversheet";#N/A,#N/A,FALSE,"QA"}</definedName>
    <definedName name="DFIT" localSheetId="1" hidden="1">{#N/A,#N/A,FALSE,"Coversheet";#N/A,#N/A,FALSE,"QA"}</definedName>
    <definedName name="DFIT" localSheetId="2" hidden="1">{#N/A,#N/A,FALSE,"Coversheet";#N/A,#N/A,FALSE,"QA"}</definedName>
    <definedName name="DFIT" localSheetId="3" hidden="1">{#N/A,#N/A,FALSE,"Coversheet";#N/A,#N/A,FALSE,"QA"}</definedName>
    <definedName name="DFIT" localSheetId="4" hidden="1">{#N/A,#N/A,FALSE,"Coversheet";#N/A,#N/A,FALSE,"QA"}</definedName>
    <definedName name="DFIT" localSheetId="5" hidden="1">{#N/A,#N/A,FALSE,"Coversheet";#N/A,#N/A,FALSE,"QA"}</definedName>
    <definedName name="DFIT" hidden="1">{#N/A,#N/A,FALSE,"Coversheet";#N/A,#N/A,FALSE,"QA"}</definedName>
    <definedName name="FIT">'[2]4.01 - 5.03'!$GH$20</definedName>
    <definedName name="_xlnm.Print_Area" localSheetId="0">'JHS-7 Ex A-1'!$A$4:$H$50</definedName>
    <definedName name="_xlnm.Print_Area" localSheetId="1">'JHS-7 Ex A-2'!$A$4:$I$54</definedName>
    <definedName name="_xlnm.Print_Area" localSheetId="2">'JHS-7 Ex A-3 Colstrip'!$A$74:$D$108</definedName>
    <definedName name="_xlnm.Print_Area" localSheetId="3">'JHS-7 Ex A-4 Prod Adj'!$A$6:$E$104</definedName>
    <definedName name="_xlnm.Print_Area" localSheetId="4">'JHS-7 Ex A-5 PC'!$A$6:$E$41</definedName>
    <definedName name="_xlnm.Print_Area" localSheetId="5">'JHS-7 Exhibit D'!$A$1:$Q$149</definedName>
    <definedName name="_xlnm.Print_Titles" localSheetId="5">'JHS-7 Exhibit D'!$1:$9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Customer._.Counts._.Gas." localSheetId="4" hidden="1">{#N/A,#N/A,FALSE,"Pg 6b CustCount_Gas";#N/A,#N/A,FALSE,"QA";#N/A,#N/A,FALSE,"Report";#N/A,#N/A,FALSE,"forecast"}</definedName>
    <definedName name="wrn.Customer._.Counts._.Gas." localSheetId="5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Fundamental." localSheetId="1" hidden="1">{#N/A,#N/A,TRUE,"CoverPage";#N/A,#N/A,TRUE,"Gas";#N/A,#N/A,TRUE,"Power";#N/A,#N/A,TRUE,"Historical DJ Mthly Prices"}</definedName>
    <definedName name="wrn.Fundamental." localSheetId="2" hidden="1">{#N/A,#N/A,TRUE,"CoverPage";#N/A,#N/A,TRUE,"Gas";#N/A,#N/A,TRUE,"Power";#N/A,#N/A,TRUE,"Historical DJ Mthly Prices"}</definedName>
    <definedName name="wrn.Fundamental." localSheetId="3" hidden="1">{#N/A,#N/A,TRUE,"CoverPage";#N/A,#N/A,TRUE,"Gas";#N/A,#N/A,TRUE,"Power";#N/A,#N/A,TRUE,"Historical DJ Mthly Prices"}</definedName>
    <definedName name="wrn.Fundamental." localSheetId="4" hidden="1">{#N/A,#N/A,TRUE,"CoverPage";#N/A,#N/A,TRUE,"Gas";#N/A,#N/A,TRUE,"Power";#N/A,#N/A,TRUE,"Historical DJ Mthly Prices"}</definedName>
    <definedName name="wrn.Fundamental." localSheetId="5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ncentive._.Overhead." localSheetId="0" hidden="1">{#N/A,#N/A,FALSE,"Coversheet";#N/A,#N/A,FALSE,"QA"}</definedName>
    <definedName name="wrn.Incentive._.Overhead." localSheetId="1" hidden="1">{#N/A,#N/A,FALSE,"Coversheet";#N/A,#N/A,FALSE,"QA"}</definedName>
    <definedName name="wrn.Incentive._.Overhead." localSheetId="2" hidden="1">{#N/A,#N/A,FALSE,"Coversheet";#N/A,#N/A,FALSE,"QA"}</definedName>
    <definedName name="wrn.Incentive._.Overhead." localSheetId="3" hidden="1">{#N/A,#N/A,FALSE,"Coversheet";#N/A,#N/A,FALSE,"QA"}</definedName>
    <definedName name="wrn.Incentive._.Overhead." localSheetId="4" hidden="1">{#N/A,#N/A,FALSE,"Coversheet";#N/A,#N/A,FALSE,"QA"}</definedName>
    <definedName name="wrn.Incentive._.Overhead." localSheetId="5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localSheetId="1" hidden="1">{#N/A,#N/A,FALSE,"Schedule F";#N/A,#N/A,FALSE,"Schedule G"}</definedName>
    <definedName name="wrn.limit_reports." localSheetId="2" hidden="1">{#N/A,#N/A,FALSE,"Schedule F";#N/A,#N/A,FALSE,"Schedule G"}</definedName>
    <definedName name="wrn.limit_reports." localSheetId="3" hidden="1">{#N/A,#N/A,FALSE,"Schedule F";#N/A,#N/A,FALSE,"Schedule G"}</definedName>
    <definedName name="wrn.limit_reports." localSheetId="4" hidden="1">{#N/A,#N/A,FALSE,"Schedule F";#N/A,#N/A,FALSE,"Schedule G"}</definedName>
    <definedName name="wrn.limit_reports." localSheetId="5" hidden="1">{#N/A,#N/A,FALSE,"Schedule F";#N/A,#N/A,FALSE,"Schedule G"}</definedName>
    <definedName name="wrn.limit_reports." hidden="1">{#N/A,#N/A,FALSE,"Schedule F";#N/A,#N/A,FALSE,"Schedule G"}</definedName>
    <definedName name="wrn.MARGIN_WO_QTR." localSheetId="1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localSheetId="4" hidden="1">{#N/A,#N/A,FALSE,"Month ";#N/A,#N/A,FALSE,"YTD";#N/A,#N/A,FALSE,"12 mo ended"}</definedName>
    <definedName name="wrn.MARGIN_WO_QTR." localSheetId="5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localSheetId="1" hidden="1">{#N/A,#N/A,FALSE,"2002 Small Tool OH";#N/A,#N/A,FALSE,"QA"}</definedName>
    <definedName name="wrn.Small._.Tools._.Overhead." localSheetId="2" hidden="1">{#N/A,#N/A,FALSE,"2002 Small Tool OH";#N/A,#N/A,FALSE,"QA"}</definedName>
    <definedName name="wrn.Small._.Tools._.Overhead." localSheetId="3" hidden="1">{#N/A,#N/A,FALSE,"2002 Small Tool OH";#N/A,#N/A,FALSE,"QA"}</definedName>
    <definedName name="wrn.Small._.Tools._.Overhead." localSheetId="4" hidden="1">{#N/A,#N/A,FALSE,"2002 Small Tool OH";#N/A,#N/A,FALSE,"QA"}</definedName>
    <definedName name="wrn.Small._.Tools._.Overhead." localSheetId="5" hidden="1">{#N/A,#N/A,FALSE,"2002 Small Tool OH";#N/A,#N/A,FALSE,"QA"}</definedName>
    <definedName name="wrn.Small._.Tools._.Overhead." hidden="1">{#N/A,#N/A,FALSE,"2002 Small Tool OH";#N/A,#N/A,FALSE,"QA"}</definedName>
    <definedName name="Z_03B5CB54_D950_4809_9BFA_B5E91687BDB2_.wvu.Cols" localSheetId="5" hidden="1">'JHS-7 Exhibit D'!#REF!</definedName>
    <definedName name="Z_03B5CB54_D950_4809_9BFA_B5E91687BDB2_.wvu.PrintArea" localSheetId="1" hidden="1">'JHS-7 Ex A-2'!$A$4:$E$46</definedName>
    <definedName name="Z_03B5CB54_D950_4809_9BFA_B5E91687BDB2_.wvu.PrintArea" localSheetId="5" hidden="1">'JHS-7 Exhibit D'!$A$1:$P$97</definedName>
    <definedName name="Z_067119CC_1C61_43DB_B4BB_54397DC63A91_.wvu.PrintArea" localSheetId="0" hidden="1">'JHS-7 Ex A-1'!$A$4:$H$52</definedName>
    <definedName name="Z_08940AE3_2B39_4679_8F23_53091628DE22_.wvu.Cols" localSheetId="2" hidden="1">'JHS-7 Ex A-3 Colstrip'!$E:$O</definedName>
    <definedName name="Z_08940AE3_2B39_4679_8F23_53091628DE22_.wvu.PrintArea" localSheetId="2" hidden="1">'JHS-7 Ex A-3 Colstrip'!$A$1:$S$66</definedName>
    <definedName name="Z_0F2CC7FB_658B_4076_B2F4_70F2E8A73C62_.wvu.Cols" localSheetId="2" hidden="1">'JHS-7 Ex A-3 Colstrip'!$E:$O</definedName>
    <definedName name="Z_0F2CC7FB_658B_4076_B2F4_70F2E8A73C62_.wvu.PrintArea" localSheetId="2" hidden="1">'JHS-7 Ex A-3 Colstrip'!$A$1:$S$66</definedName>
    <definedName name="Z_109A6FD5_7A38_487C_9B51_9E942A2A6DF7_.wvu.Cols" localSheetId="5" hidden="1">'JHS-7 Exhibit D'!#REF!</definedName>
    <definedName name="Z_109A6FD5_7A38_487C_9B51_9E942A2A6DF7_.wvu.PrintArea" localSheetId="5" hidden="1">'JHS-7 Exhibit D'!$A$1:$P$97</definedName>
    <definedName name="Z_124C812C_4A2C_4F7A_9C51_0C1396FF6214_.wvu.Cols" localSheetId="2" hidden="1">'JHS-7 Ex A-3 Colstrip'!$E:$O</definedName>
    <definedName name="Z_124C812C_4A2C_4F7A_9C51_0C1396FF6214_.wvu.PrintArea" localSheetId="2" hidden="1">'JHS-7 Ex A-3 Colstrip'!$A$1:$S$66</definedName>
    <definedName name="Z_14262664_129C_4E9B_8245_4B43AF19E33A_.wvu.PrintArea" localSheetId="0" hidden="1">'JHS-7 Ex A-1'!$A$4:$H$52</definedName>
    <definedName name="Z_17768135_68BF_4539_94C0_50ED7816A698_.wvu.PrintArea" localSheetId="0" hidden="1">'JHS-7 Ex A-1'!$A$4:$H$52</definedName>
    <definedName name="Z_1E64D771_8C52_4EFE_8F0D_67326F432767_.wvu.PrintArea" localSheetId="0" hidden="1">'JHS-7 Ex A-1'!$A$4:$H$52</definedName>
    <definedName name="Z_2396DC2C_402A_4916_91F9_9FDB5C342408_.wvu.Cols" localSheetId="5" hidden="1">'JHS-7 Exhibit D'!#REF!</definedName>
    <definedName name="Z_2396DC2C_402A_4916_91F9_9FDB5C342408_.wvu.PrintArea" localSheetId="1" hidden="1">'JHS-7 Ex A-2'!$A$4:$E$46</definedName>
    <definedName name="Z_2396DC2C_402A_4916_91F9_9FDB5C342408_.wvu.PrintArea" localSheetId="5" hidden="1">'JHS-7 Exhibit D'!$A$1:$P$97</definedName>
    <definedName name="Z_28C5A156_92F3_4234_9C7A_A32D75F798CC_.wvu.PrintArea" localSheetId="0" hidden="1">'JHS-7 Ex A-1'!$A$4:$H$52</definedName>
    <definedName name="Z_2DBDF3D7_BA4D_404D_AE4B_DFD7008C0411_.wvu.PrintArea" localSheetId="0" hidden="1">'JHS-7 Ex A-1'!$A$4:$H$52</definedName>
    <definedName name="Z_30171EF4_8F5E_4A73_A7BD_AC361852ECC0_.wvu.Cols" localSheetId="5" hidden="1">'JHS-7 Exhibit D'!#REF!</definedName>
    <definedName name="Z_30171EF4_8F5E_4A73_A7BD_AC361852ECC0_.wvu.PrintArea" localSheetId="5" hidden="1">'JHS-7 Exhibit D'!$A$1:$P$97</definedName>
    <definedName name="Z_323B199E_96B9_4DC6_8637_E126F9BA7C08_.wvu.Cols" localSheetId="5" hidden="1">'JHS-7 Exhibit D'!#REF!</definedName>
    <definedName name="Z_323B199E_96B9_4DC6_8637_E126F9BA7C08_.wvu.PrintArea" localSheetId="5" hidden="1">'JHS-7 Exhibit D'!$A$1:$P$97</definedName>
    <definedName name="Z_33B41F79_FD24_4F36_8296_4697334AAAA8_.wvu.Cols" localSheetId="2" hidden="1">'JHS-7 Ex A-3 Colstrip'!$E:$O</definedName>
    <definedName name="Z_360E262E_5544_471B_8912_5783F5DDE4E1_.wvu.Cols" localSheetId="2" hidden="1">'JHS-7 Ex A-3 Colstrip'!$E:$O</definedName>
    <definedName name="Z_360E262E_5544_471B_8912_5783F5DDE4E1_.wvu.PrintArea" localSheetId="2" hidden="1">'JHS-7 Ex A-3 Colstrip'!$A$1:$S$66</definedName>
    <definedName name="Z_3797879C_3298_4122_A12D_3DFD0284FBDD_.wvu.PrintArea" localSheetId="0" hidden="1">'JHS-7 Ex A-1'!$A$4:$H$52</definedName>
    <definedName name="Z_3834E606_B28A_4696_9192_7BDA898195A1_.wvu.PrintArea" localSheetId="0" hidden="1">'JHS-7 Ex A-1'!$A$4:$H$52</definedName>
    <definedName name="Z_3DB8EC99_BD55_4ABF_B71E_F70797B0173C_.wvu.PrintArea" localSheetId="0" hidden="1">'JHS-7 Ex A-1'!$A$4:$H$52</definedName>
    <definedName name="Z_40B7FB48_DAE3_4682_852F_AC0650D2BE14_.wvu.PrintArea" localSheetId="0" hidden="1">'JHS-7 Ex A-1'!$A$4:$H$52</definedName>
    <definedName name="Z_41713566_6DDC_4C14_8259_D9C15B9E45DD_.wvu.PrintArea" localSheetId="0" hidden="1">'JHS-7 Ex A-1'!$A$4:$H$52</definedName>
    <definedName name="Z_423F2953_9177_4482_AE78_C7C47BA8995B_.wvu.PrintArea" localSheetId="0" hidden="1">'JHS-7 Ex A-1'!$A$4:$H$52</definedName>
    <definedName name="Z_46E5C546_9AEA_4E06_B017_805B7E255C92_.wvu.PrintArea" localSheetId="0" hidden="1">'JHS-7 Ex A-1'!$A$4:$H$52</definedName>
    <definedName name="Z_481D4E2E_20D4_45AB_AA2C_B34407716074_.wvu.Cols" localSheetId="5" hidden="1">'JHS-7 Exhibit D'!#REF!</definedName>
    <definedName name="Z_481D4E2E_20D4_45AB_AA2C_B34407716074_.wvu.PrintArea" localSheetId="5" hidden="1">'JHS-7 Exhibit D'!$A$1:$P$97</definedName>
    <definedName name="Z_4840C72E_33E7_45CF_A897_030BC56F6B90_.wvu.PrintArea" localSheetId="0" hidden="1">'JHS-7 Ex A-1'!$A$4:$H$52</definedName>
    <definedName name="Z_4E622CCD_D944_4FAF_AA88_B1B0E08B47FA_.wvu.Cols" localSheetId="2" hidden="1">'JHS-7 Ex A-3 Colstrip'!$E:$O</definedName>
    <definedName name="Z_4E622CCD_D944_4FAF_AA88_B1B0E08B47FA_.wvu.PrintArea" localSheetId="2" hidden="1">'JHS-7 Ex A-3 Colstrip'!$A$1:$S$66</definedName>
    <definedName name="Z_5E49DE5F_0FCC_425D_A4A9_9AE99BAB6770_.wvu.Cols" localSheetId="2" hidden="1">'JHS-7 Ex A-3 Colstrip'!$E:$O</definedName>
    <definedName name="Z_605C023E_A5C7_400F_9AAA_827B8FDB13A8_.wvu.PrintArea" localSheetId="0" hidden="1">'JHS-7 Ex A-1'!$A$4:$H$52</definedName>
    <definedName name="Z_62EE4FB2_B9F8_4C5D_BC5C_181361F6DD86_.wvu.PrintArea" localSheetId="0" hidden="1">'JHS-7 Ex A-1'!$A$4:$H$52</definedName>
    <definedName name="Z_663C3115_7A87_49DA_9260_EF1A41B87728_.wvu.Cols" localSheetId="5" hidden="1">'JHS-7 Exhibit D'!#REF!</definedName>
    <definedName name="Z_663C3115_7A87_49DA_9260_EF1A41B87728_.wvu.PrintArea" localSheetId="5" hidden="1">'JHS-7 Exhibit D'!$A$1:$P$97</definedName>
    <definedName name="Z_6BE2AA00_D0CA_4793_8091_7BAABD0B030C_.wvu.Cols" localSheetId="5" hidden="1">'JHS-7 Exhibit D'!#REF!</definedName>
    <definedName name="Z_6BE2AA00_D0CA_4793_8091_7BAABD0B030C_.wvu.PrintArea" localSheetId="1" hidden="1">'JHS-7 Ex A-2'!$A$4:$E$46</definedName>
    <definedName name="Z_6BE2AA00_D0CA_4793_8091_7BAABD0B030C_.wvu.PrintArea" localSheetId="5" hidden="1">'JHS-7 Exhibit D'!$A$1:$P$97</definedName>
    <definedName name="Z_6C054A84_7F92_45EC_B53F_EAC86C7019C4_.wvu.Cols" localSheetId="5" hidden="1">'JHS-7 Exhibit D'!#REF!</definedName>
    <definedName name="Z_6C054A84_7F92_45EC_B53F_EAC86C7019C4_.wvu.PrintArea" localSheetId="1" hidden="1">'JHS-7 Ex A-2'!$A$4:$E$46</definedName>
    <definedName name="Z_6C054A84_7F92_45EC_B53F_EAC86C7019C4_.wvu.PrintArea" localSheetId="5" hidden="1">'JHS-7 Exhibit D'!$A$1:$P$97</definedName>
    <definedName name="Z_6CCD15FF_0E65_46C3_9881_A9AD5C3EA28A_.wvu.Cols" localSheetId="5" hidden="1">'JHS-7 Exhibit D'!#REF!</definedName>
    <definedName name="Z_6CCD15FF_0E65_46C3_9881_A9AD5C3EA28A_.wvu.PrintArea" localSheetId="1" hidden="1">'JHS-7 Ex A-2'!$A$4:$E$46</definedName>
    <definedName name="Z_6CCD15FF_0E65_46C3_9881_A9AD5C3EA28A_.wvu.PrintArea" localSheetId="5" hidden="1">'JHS-7 Exhibit D'!$A$1:$P$97</definedName>
    <definedName name="Z_71BE80D5_D2E9_4DE2_BCB0_6CDBFC730EEB_.wvu.Cols" localSheetId="2" hidden="1">'JHS-7 Ex A-3 Colstrip'!$E:$O</definedName>
    <definedName name="Z_72FEDAE6_5818_4398_BD73_F68F64A87D77_.wvu.Cols" localSheetId="2" hidden="1">'JHS-7 Ex A-3 Colstrip'!$E:$O</definedName>
    <definedName name="Z_73DC5D62_B5F7_4FF1_B828_872B4B4D393C_.wvu.Cols" localSheetId="2" hidden="1">'JHS-7 Ex A-3 Colstrip'!$E:$O</definedName>
    <definedName name="Z_7765C09D_9D61_4D8B_A0C4_7C6D784C2592_.wvu.Cols" localSheetId="5" hidden="1">'JHS-7 Exhibit D'!#REF!</definedName>
    <definedName name="Z_7765C09D_9D61_4D8B_A0C4_7C6D784C2592_.wvu.PrintArea" localSheetId="1" hidden="1">'JHS-7 Ex A-2'!$A$4:$E$46</definedName>
    <definedName name="Z_7765C09D_9D61_4D8B_A0C4_7C6D784C2592_.wvu.PrintArea" localSheetId="5" hidden="1">'JHS-7 Exhibit D'!$A$1:$P$97</definedName>
    <definedName name="Z_79762E65_90C4_47A1_86F2_E82D4A20979F_.wvu.Cols" localSheetId="2" hidden="1">'JHS-7 Ex A-3 Colstrip'!$E:$O</definedName>
    <definedName name="Z_7B9E46E5_DE40_4DE3_A131_6EB2A495D794_.wvu.Cols" localSheetId="5" hidden="1">'JHS-7 Exhibit D'!#REF!</definedName>
    <definedName name="Z_7B9E46E5_DE40_4DE3_A131_6EB2A495D794_.wvu.PrintArea" localSheetId="5" hidden="1">'JHS-7 Exhibit D'!$A$1:$P$97</definedName>
    <definedName name="Z_7BA69DB9_9629_48D1_B18D_D9C903A40CAC_.wvu.Cols" localSheetId="2" hidden="1">'JHS-7 Ex A-3 Colstrip'!$E:$O</definedName>
    <definedName name="Z_7BB893A1_9453_4866_8DE0_1A73FD3D4375_.wvu.Cols" localSheetId="2" hidden="1">'JHS-7 Ex A-3 Colstrip'!$E:$O</definedName>
    <definedName name="Z_813D7A4F_EDF6_49ED_B8FD_B74D0B9276AB_.wvu.PrintArea" localSheetId="0" hidden="1">'JHS-7 Ex A-1'!$A$4:$H$52</definedName>
    <definedName name="Z_83C2B01C_2BB7_44E8_9FCB_52B0216AB579_.wvu.Cols" localSheetId="2" hidden="1">'JHS-7 Ex A-3 Colstrip'!$E:$O</definedName>
    <definedName name="Z_84213CFC_D8F9_4E4C_B010_08EF5E3F8AD7_.wvu.Cols" localSheetId="5" hidden="1">'JHS-7 Exhibit D'!#REF!</definedName>
    <definedName name="Z_84213CFC_D8F9_4E4C_B010_08EF5E3F8AD7_.wvu.PrintArea" localSheetId="1" hidden="1">'JHS-7 Ex A-2'!$A$4:$E$46</definedName>
    <definedName name="Z_84213CFC_D8F9_4E4C_B010_08EF5E3F8AD7_.wvu.PrintArea" localSheetId="5" hidden="1">'JHS-7 Exhibit D'!$A$1:$P$97</definedName>
    <definedName name="Z_88A240CE_F5A6_4995_A526_0E22BADCFF6D_.wvu.PrintArea" localSheetId="0" hidden="1">'JHS-7 Ex A-1'!$A$4:$H$52</definedName>
    <definedName name="Z_8920654A_B782_40BF_9A51_A43F20A27C02_.wvu.PrintArea" localSheetId="0" hidden="1">'JHS-7 Ex A-1'!$A$4:$H$52</definedName>
    <definedName name="Z_8E7EA697_A1C1_4FA5_9CC7_93304413A154_.wvu.PrintArea" localSheetId="0" hidden="1">'JHS-7 Ex A-1'!$A$4:$H$52</definedName>
    <definedName name="Z_9425E5FD_17DF_4683_9D8C_95E099A01E16_.wvu.Cols" localSheetId="2" hidden="1">'JHS-7 Ex A-3 Colstrip'!$E:$O</definedName>
    <definedName name="Z_9425E5FD_17DF_4683_9D8C_95E099A01E16_.wvu.PrintArea" localSheetId="2" hidden="1">'JHS-7 Ex A-3 Colstrip'!$A$1:$S$66</definedName>
    <definedName name="Z_990691EF_FF43_4000_BCD8_6862D2BAD44A_.wvu.PrintArea" localSheetId="0" hidden="1">'JHS-7 Ex A-1'!$A$4:$H$52</definedName>
    <definedName name="Z_9DB1448B_0B06_4897_A7CD_BCAC8E925C6E_.wvu.Cols" localSheetId="2" hidden="1">'JHS-7 Ex A-3 Colstrip'!$E:$O</definedName>
    <definedName name="Z_9EDECD17_2FEA_43EF_915A_B991229DF9B6_.wvu.Cols" localSheetId="2" hidden="1">'JHS-7 Ex A-3 Colstrip'!$E:$O</definedName>
    <definedName name="Z_9EDECD17_2FEA_43EF_915A_B991229DF9B6_.wvu.PrintArea" localSheetId="2" hidden="1">'JHS-7 Ex A-3 Colstrip'!$A$1:$S$66</definedName>
    <definedName name="Z_A1FA6151_E2D3_4099_BB8D_6C3F74D8C23B_.wvu.Cols" localSheetId="2" hidden="1">'JHS-7 Ex A-3 Colstrip'!$E:$O</definedName>
    <definedName name="Z_A3FBC4C2_6ECB_480C_89DD_35506B048870_.wvu.PrintArea" localSheetId="0" hidden="1">'JHS-7 Ex A-1'!$A$4:$H$52</definedName>
    <definedName name="Z_A5386FC6_060C_4FF8_9754_8F41ED24E370_.wvu.Cols" localSheetId="5" hidden="1">'JHS-7 Exhibit D'!#REF!</definedName>
    <definedName name="Z_A5386FC6_060C_4FF8_9754_8F41ED24E370_.wvu.PrintArea" localSheetId="5" hidden="1">'JHS-7 Exhibit D'!$A$1:$P$97</definedName>
    <definedName name="Z_A68D84AC_3459_4B1A_A82C_09666110CF77_.wvu.Cols" localSheetId="5" hidden="1">'JHS-7 Exhibit D'!#REF!</definedName>
    <definedName name="Z_A68D84AC_3459_4B1A_A82C_09666110CF77_.wvu.PrintArea" localSheetId="5" hidden="1">'JHS-7 Exhibit D'!$A$1:$P$97</definedName>
    <definedName name="Z_ACABE5FC_E604_45C9_ACB7_53C863CA19F6_.wvu.PrintArea" localSheetId="0" hidden="1">'JHS-7 Ex A-1'!$A$4:$H$52</definedName>
    <definedName name="Z_AD88DA1E_4535_4A0F_86F8_39D7812ED88C_.wvu.Cols" localSheetId="5" hidden="1">'JHS-7 Exhibit D'!#REF!</definedName>
    <definedName name="Z_AD88DA1E_4535_4A0F_86F8_39D7812ED88C_.wvu.PrintArea" localSheetId="5" hidden="1">'JHS-7 Exhibit D'!$A$1:$P$97</definedName>
    <definedName name="Z_B1F8DC23_D716_49D3_B2ED_6AD79DCC127D_.wvu.Cols" localSheetId="5" hidden="1">'JHS-7 Exhibit D'!#REF!</definedName>
    <definedName name="Z_B1F8DC23_D716_49D3_B2ED_6AD79DCC127D_.wvu.PrintArea" localSheetId="5" hidden="1">'JHS-7 Exhibit D'!$A$1:$P$97</definedName>
    <definedName name="Z_B645129D_C5C8_4408_A211_8D284ED241D4_.wvu.Cols" localSheetId="5" hidden="1">'JHS-7 Exhibit D'!#REF!</definedName>
    <definedName name="Z_B645129D_C5C8_4408_A211_8D284ED241D4_.wvu.PrintArea" localSheetId="5" hidden="1">'JHS-7 Exhibit D'!$A$1:$P$97</definedName>
    <definedName name="Z_BA39091D_C7FC_45D0_82A3_5E4EAAFABA5A_.wvu.PrintArea" localSheetId="0" hidden="1">'JHS-7 Ex A-1'!$A$4:$H$52</definedName>
    <definedName name="Z_BBEC464C_25F9_4835_BB05_13062D5DEAC1_.wvu.PrintArea" localSheetId="0" hidden="1">'JHS-7 Ex A-1'!$A$4:$H$52</definedName>
    <definedName name="Z_BFF4269F_5159_4FE7_8C1B_7EF258D66D6C_.wvu.Cols" localSheetId="5" hidden="1">'JHS-7 Exhibit D'!#REF!</definedName>
    <definedName name="Z_BFF4269F_5159_4FE7_8C1B_7EF258D66D6C_.wvu.PrintArea" localSheetId="1" hidden="1">'JHS-7 Ex A-2'!$A$4:$E$46</definedName>
    <definedName name="Z_BFF4269F_5159_4FE7_8C1B_7EF258D66D6C_.wvu.PrintArea" localSheetId="5" hidden="1">'JHS-7 Exhibit D'!$A$1:$P$97</definedName>
    <definedName name="Z_C3CE34FF_D7D7_4ECF_B6E1_4700E3130E94_.wvu.PrintArea" localSheetId="0" hidden="1">'JHS-7 Ex A-1'!$A$4:$H$52</definedName>
    <definedName name="Z_C4883C13_F396_4F7E_A779_FD99A50836F3_.wvu.Cols" localSheetId="5" hidden="1">'JHS-7 Exhibit D'!#REF!</definedName>
    <definedName name="Z_C4883C13_F396_4F7E_A779_FD99A50836F3_.wvu.PrintArea" localSheetId="1" hidden="1">'JHS-7 Ex A-2'!$A$4:$E$46</definedName>
    <definedName name="Z_C4883C13_F396_4F7E_A779_FD99A50836F3_.wvu.PrintArea" localSheetId="5" hidden="1">'JHS-7 Exhibit D'!$A$1:$P$97</definedName>
    <definedName name="Z_C63704F0_44AC_4DFF_9CE1_040677F2E727_.wvu.Cols" localSheetId="2" hidden="1">'JHS-7 Ex A-3 Colstrip'!$E:$O</definedName>
    <definedName name="Z_C63704F0_44AC_4DFF_9CE1_040677F2E727_.wvu.PrintArea" localSheetId="2" hidden="1">'JHS-7 Ex A-3 Colstrip'!$A$1:$S$66</definedName>
    <definedName name="Z_CD5012F4_E6A6_495E_BF90_5F6D9EE7AF29_.wvu.PrintArea" localSheetId="0" hidden="1">'JHS-7 Ex A-1'!$A$4:$H$52</definedName>
    <definedName name="Z_D034A8AA_A968_4D12_B6AF_09F53E5CD513_.wvu.PrintArea" localSheetId="0" hidden="1">'JHS-7 Ex A-1'!$A$4:$H$52</definedName>
    <definedName name="Z_D15D6F26_DA6E_456D_B7F5_850E9F3039F7_.wvu.Cols" localSheetId="5" hidden="1">'JHS-7 Exhibit D'!#REF!</definedName>
    <definedName name="Z_D15D6F26_DA6E_456D_B7F5_850E9F3039F7_.wvu.PrintArea" localSheetId="5" hidden="1">'JHS-7 Exhibit D'!$A$1:$P$97</definedName>
    <definedName name="Z_D358E58B_5EA6_4EB2_8562_4D9FEBA8EA54_.wvu.PrintArea" localSheetId="0" hidden="1">'JHS-7 Ex A-1'!$A$4:$H$52</definedName>
    <definedName name="Z_D564613F_7CF3_40DE_8CDA_0C25C1F35855_.wvu.PrintArea" localSheetId="0" hidden="1">'JHS-7 Ex A-1'!$A$4:$H$52</definedName>
    <definedName name="Z_D86EDF48_CDEA_4A90_8E1A_7F0B5E967DBE_.wvu.Cols" localSheetId="2" hidden="1">'JHS-7 Ex A-3 Colstrip'!$E:$O</definedName>
    <definedName name="Z_DA82D128_5452_45C5_914D_4ECF8FABD1C5_.wvu.Cols" localSheetId="5" hidden="1">'JHS-7 Exhibit D'!#REF!</definedName>
    <definedName name="Z_DA82D128_5452_45C5_914D_4ECF8FABD1C5_.wvu.PrintArea" localSheetId="5" hidden="1">'JHS-7 Exhibit D'!$A$1:$P$97</definedName>
    <definedName name="Z_DD70B4E1_CC64_4568_BFD6_83390A7B0268_.wvu.PrintArea" localSheetId="0" hidden="1">'JHS-7 Ex A-1'!$A$4:$H$52</definedName>
    <definedName name="Z_DF4E3B04_E442_43A1_A47D_E26F6CE7F11C_.wvu.PrintArea" localSheetId="0" hidden="1">'JHS-7 Ex A-1'!$A$4:$H$52</definedName>
    <definedName name="Z_E289851B_405E_4A98_8191_445F20CA287E_.wvu.Cols" localSheetId="5" hidden="1">'JHS-7 Exhibit D'!#REF!</definedName>
    <definedName name="Z_E289851B_405E_4A98_8191_445F20CA287E_.wvu.PrintArea" localSheetId="5" hidden="1">'JHS-7 Exhibit D'!$A$1:$P$97</definedName>
    <definedName name="Z_E2C26153_D457_4603_B564_60CFADB5026B_.wvu.PrintArea" localSheetId="0" hidden="1">'JHS-7 Ex A-1'!$A$4:$H$52</definedName>
    <definedName name="Z_E4F9A0CE_47D0_4F72_86F1_E5F20B9A3104_.wvu.Cols" localSheetId="2" hidden="1">'JHS-7 Ex A-3 Colstrip'!$E:$O</definedName>
    <definedName name="Z_E98B4028_3602_46AA_8C00_41FD8ABF8836_.wvu.PrintArea" localSheetId="0" hidden="1">'JHS-7 Ex A-1'!$A$4:$H$52</definedName>
    <definedName name="Z_EDF3DC03_FBB9_4397_9335_6FA548B9B5CD_.wvu.PrintArea" localSheetId="0" hidden="1">'JHS-7 Ex A-1'!$A$4:$H$52</definedName>
    <definedName name="Z_EE559E07_5B41_4877_A4D7_2B8A63F8CFFE_.wvu.Cols" localSheetId="5" hidden="1">'JHS-7 Exhibit D'!#REF!</definedName>
    <definedName name="Z_EE559E07_5B41_4877_A4D7_2B8A63F8CFFE_.wvu.PrintArea" localSheetId="5" hidden="1">'JHS-7 Exhibit D'!$A$1:$P$97</definedName>
    <definedName name="Z_F2FA841B_253A_4182_A288_13748E201B99_.wvu.Cols" localSheetId="2" hidden="1">'JHS-7 Ex A-3 Colstrip'!$E:$O</definedName>
    <definedName name="Z_F2FA841B_253A_4182_A288_13748E201B99_.wvu.PrintArea" localSheetId="2" hidden="1">'JHS-7 Ex A-3 Colstrip'!$A$104:$P$112</definedName>
    <definedName name="Z_F531E925_9E0B_409C_9EAA_ADCDD51D6BA7_.wvu.PrintArea" localSheetId="0" hidden="1">'JHS-7 Ex A-1'!$A$4:$H$52</definedName>
    <definedName name="Z_F985D028_064A_46CA_9D34_E4E9B88A9B3C_.wvu.PrintArea" localSheetId="0" hidden="1">'JHS-7 Ex A-1'!$A$4:$H$52</definedName>
    <definedName name="Z_FA8E6920_4213_45BA_ADAB_F0B62DF69468_.wvu.Cols" localSheetId="2" hidden="1">'JHS-7 Ex A-3 Colstrip'!$E:$O</definedName>
    <definedName name="Z_FEFCE477_944B_4DAC_AD75_686CC83D0F0B_.wvu.PrintArea" localSheetId="0" hidden="1">'JHS-7 Ex A-1'!$A$4:$H$52</definedName>
  </definedNames>
  <calcPr fullCalcOnLoad="1"/>
</workbook>
</file>

<file path=xl/comments6.xml><?xml version="1.0" encoding="utf-8"?>
<comments xmlns="http://schemas.openxmlformats.org/spreadsheetml/2006/main">
  <authors>
    <author>sfree</author>
  </authors>
  <commentList>
    <comment ref="J134" authorId="0">
      <text>
        <r>
          <rPr>
            <b/>
            <sz val="8"/>
            <rFont val="Tahoma"/>
            <family val="2"/>
          </rPr>
          <t>sfree:</t>
        </r>
        <r>
          <rPr>
            <sz val="8"/>
            <rFont val="Tahoma"/>
            <family val="2"/>
          </rPr>
          <t xml:space="preserve">
Final Revised per UE-051314.  Adjustment between originally filed and final posted in March 2006.
($548,322) - ($620,549) = $72,227 larger credit to expense.</t>
        </r>
      </text>
    </comment>
    <comment ref="P134" authorId="0">
      <text>
        <r>
          <rPr>
            <b/>
            <sz val="8"/>
            <rFont val="Tahoma"/>
            <family val="2"/>
          </rPr>
          <t>sfree:</t>
        </r>
        <r>
          <rPr>
            <sz val="8"/>
            <rFont val="Tahoma"/>
            <family val="2"/>
          </rPr>
          <t xml:space="preserve">
Final Revised per UE-051314.  Adjustment between originally filed and final posted in December 2005.
($32,966,029 - $32,956,707 = $9,322)</t>
        </r>
      </text>
    </comment>
    <comment ref="B136" authorId="0">
      <text>
        <r>
          <rPr>
            <sz val="10"/>
            <rFont val="Tahoma"/>
            <family val="2"/>
          </rPr>
          <t>6 Month Time Period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<sst xmlns="http://schemas.openxmlformats.org/spreadsheetml/2006/main" count="683" uniqueCount="358">
  <si>
    <t>Exhibit A-1 Power Cost Rate</t>
  </si>
  <si>
    <t>Row</t>
  </si>
  <si>
    <t xml:space="preserve">Test Year </t>
  </si>
  <si>
    <t>Regulatory Assets (Variable)</t>
  </si>
  <si>
    <t>Transmission Rate Base (Fixed)</t>
  </si>
  <si>
    <t>Production Rate Base (Fixed)</t>
  </si>
  <si>
    <t>Production</t>
  </si>
  <si>
    <t>Net of tax rate of return</t>
  </si>
  <si>
    <t>Factor</t>
  </si>
  <si>
    <t>Test Yr</t>
  </si>
  <si>
    <t>$/MWh</t>
  </si>
  <si>
    <t>Rate Year</t>
  </si>
  <si>
    <t>Regulatory Asset Recovery (on Row 3)</t>
  </si>
  <si>
    <t>(c)</t>
  </si>
  <si>
    <t>Fixed Asset Recovery Other (on Row 4)</t>
  </si>
  <si>
    <t>(a)</t>
  </si>
  <si>
    <t>Fixed Asset Recovery-Prod Factored (on Row 5)</t>
  </si>
  <si>
    <t>501-Steam Fuel</t>
  </si>
  <si>
    <t>555-Purchased power</t>
  </si>
  <si>
    <t>14a</t>
  </si>
  <si>
    <t xml:space="preserve">Rate Disallowances for March Point 2 &amp; Tenaska </t>
  </si>
  <si>
    <t>557-Other Power Exp</t>
  </si>
  <si>
    <t>15a</t>
  </si>
  <si>
    <t>Payroll Overheads - Worker's Comp</t>
  </si>
  <si>
    <t>15b</t>
  </si>
  <si>
    <t>Property Insurance</t>
  </si>
  <si>
    <t>15c</t>
  </si>
  <si>
    <t>Montana Electric Energy Tax</t>
  </si>
  <si>
    <t>15d</t>
  </si>
  <si>
    <t>Payroll Taxes on Production Wages</t>
  </si>
  <si>
    <t>547-Fuel</t>
  </si>
  <si>
    <t>565-Wheeling</t>
  </si>
  <si>
    <t>Variable Transmission Income</t>
  </si>
  <si>
    <t>Hydro and Other Pwr.</t>
  </si>
  <si>
    <t>447-Sales to Others</t>
  </si>
  <si>
    <t>456-Subaccounts 00012 &amp; 00018 and 00035 &amp; 00036</t>
  </si>
  <si>
    <t>Transmission Exp - 500KV</t>
  </si>
  <si>
    <t>Depreciation &amp; Amort -Production (FERC 403)</t>
  </si>
  <si>
    <t>Depreciation-Transmission</t>
  </si>
  <si>
    <t>Amortization-Production Reg Assets</t>
  </si>
  <si>
    <t>Property Taxes-Production</t>
  </si>
  <si>
    <t xml:space="preserve"> </t>
  </si>
  <si>
    <t>Property Taxes-Transmission</t>
  </si>
  <si>
    <t>Hedging Line of Credit</t>
  </si>
  <si>
    <t xml:space="preserve">  Subtotal &amp; Baseline Rate</t>
  </si>
  <si>
    <t>(b)</t>
  </si>
  <si>
    <t>Revenue Sensitive Items</t>
  </si>
  <si>
    <t>Test Year DELIVERED Load (MWH's)</t>
  </si>
  <si>
    <t xml:space="preserve"> &lt;-- includes Firm Wholesale</t>
  </si>
  <si>
    <t>Before Rev.</t>
  </si>
  <si>
    <t>After Rev.</t>
  </si>
  <si>
    <t>Sensitive Items</t>
  </si>
  <si>
    <t>Power Cost in Rates with Revenue Sensitive</t>
  </si>
  <si>
    <t>Items (the adjusted baseline)</t>
  </si>
  <si>
    <t xml:space="preserve">sum of (a) = Fixed Rate Component </t>
  </si>
  <si>
    <t>(b) = Power Cost Rate</t>
  </si>
  <si>
    <t>sum of (c) = Variable Power Rate Component</t>
  </si>
  <si>
    <t>CABOT BUYOUT</t>
  </si>
  <si>
    <t>TENASKA (AMORT OF AFPC PORTION)</t>
  </si>
  <si>
    <t>BEP</t>
  </si>
  <si>
    <t>WHITE RIVER PLANT COSTS</t>
  </si>
  <si>
    <t>WHITE RIVER RELICENSING &amp; CWIP</t>
  </si>
  <si>
    <t>CANWEST</t>
  </si>
  <si>
    <t>HOPKINS RIDGE PREPAID TRANSMISSION</t>
  </si>
  <si>
    <t>Exhibit A-2 Transmission Rate Base</t>
  </si>
  <si>
    <t>Plant</t>
  </si>
  <si>
    <t>AMA Accum</t>
  </si>
  <si>
    <t>Annualized</t>
  </si>
  <si>
    <t>AMA 12/31/2008</t>
  </si>
  <si>
    <t>Deprec/Amort</t>
  </si>
  <si>
    <t>Net</t>
  </si>
  <si>
    <t>Depreciation</t>
  </si>
  <si>
    <t>TRANS - COLSTRIP 1 &amp; 2</t>
  </si>
  <si>
    <t>E350</t>
  </si>
  <si>
    <t>Land and Land Rights</t>
  </si>
  <si>
    <t>E351</t>
  </si>
  <si>
    <t>Easements</t>
  </si>
  <si>
    <t>E353</t>
  </si>
  <si>
    <t>Station Equipment</t>
  </si>
  <si>
    <t>E354</t>
  </si>
  <si>
    <t>Towers &amp; Fixtures</t>
  </si>
  <si>
    <t>E355</t>
  </si>
  <si>
    <t>Poles &amp; Fixtures</t>
  </si>
  <si>
    <t>E356</t>
  </si>
  <si>
    <t>OH Conductors &amp; Devices</t>
  </si>
  <si>
    <t>E359</t>
  </si>
  <si>
    <t>Roads &amp; Trails</t>
  </si>
  <si>
    <t>TRANS - COLSTRIP 3 &amp; 4</t>
  </si>
  <si>
    <t>E352</t>
  </si>
  <si>
    <t>Structures &amp; Improvements</t>
  </si>
  <si>
    <t>TRANS - 3RD NW-SW INTERTIE</t>
  </si>
  <si>
    <t>TRANS - NORTHERN INTERTIE</t>
  </si>
  <si>
    <t>Total Transmission</t>
  </si>
  <si>
    <t>Accumulated Depreciation (AMA)</t>
  </si>
  <si>
    <t>Deferred Taxes (AMA)</t>
  </si>
  <si>
    <t xml:space="preserve">Transmission portion of: </t>
  </si>
  <si>
    <t>Colstrip Common FERC Adj, net of accum amort</t>
  </si>
  <si>
    <t>Colstrip Def Depr FERC Adj, net of accum amort</t>
  </si>
  <si>
    <t>Total Transmission Rate Base</t>
  </si>
  <si>
    <t>Exhibit A-3 Colstrip Fixed Costs</t>
  </si>
  <si>
    <t>Revenue Requirement for Colstrip</t>
  </si>
  <si>
    <t>Accumulated Depreciation</t>
  </si>
  <si>
    <t>Deferred Taxes - AMA 12/31/2008</t>
  </si>
  <si>
    <t xml:space="preserve">  Net Plant</t>
  </si>
  <si>
    <t>Rate of Return (net of Tax)</t>
  </si>
  <si>
    <t>Revenue Requirement after tax</t>
  </si>
  <si>
    <t>(Line 6 X Line 7)</t>
  </si>
  <si>
    <t>Plant Revenue Requirement</t>
  </si>
  <si>
    <t>(Adjusted for Federal Tax) (Line 8 X (1 - 35%))</t>
  </si>
  <si>
    <t>Expenses</t>
  </si>
  <si>
    <t>Total Revenue Requirement</t>
  </si>
  <si>
    <t>(before revenue sensitive items)</t>
  </si>
  <si>
    <t>Support for Revenue Requirement - Ratebase</t>
  </si>
  <si>
    <t>FERC</t>
  </si>
  <si>
    <t>DESCRIPTION</t>
  </si>
  <si>
    <t>2007 Dec
In Thousands</t>
  </si>
  <si>
    <t>2006 Oct</t>
  </si>
  <si>
    <t>2006 Nov</t>
  </si>
  <si>
    <t>2006 Dec</t>
  </si>
  <si>
    <t>2007 Jan</t>
  </si>
  <si>
    <t>2007 Feb</t>
  </si>
  <si>
    <t>2007 Mar</t>
  </si>
  <si>
    <t>2007 Apr</t>
  </si>
  <si>
    <t>2007 May</t>
  </si>
  <si>
    <t>2007 Jun</t>
  </si>
  <si>
    <t>2007 Jul</t>
  </si>
  <si>
    <t>2007 Aug</t>
  </si>
  <si>
    <t>2008 Dec
In Thousands</t>
  </si>
  <si>
    <t>13 MONTH AMA</t>
  </si>
  <si>
    <t>ANNUITY RATE</t>
  </si>
  <si>
    <t>ANNUALIZED DEPRECIATION</t>
  </si>
  <si>
    <t>AMA ACUMM. DEPR.</t>
  </si>
  <si>
    <t>COLSTRIP #1</t>
  </si>
  <si>
    <t>E311</t>
  </si>
  <si>
    <t>E312</t>
  </si>
  <si>
    <t>Boiler Plant Equipment</t>
  </si>
  <si>
    <t>E314</t>
  </si>
  <si>
    <t>Turbo Generating Units</t>
  </si>
  <si>
    <t>E315</t>
  </si>
  <si>
    <t>Accessory Electric Equipment</t>
  </si>
  <si>
    <t>E316</t>
  </si>
  <si>
    <t>Misc. Power Plant Equipment</t>
  </si>
  <si>
    <t xml:space="preserve">     TOTAL</t>
  </si>
  <si>
    <t>COLSTRIP #2</t>
  </si>
  <si>
    <t>COLSTRIP 1 &amp; 2 COMMON</t>
  </si>
  <si>
    <t>E317</t>
  </si>
  <si>
    <t>Asset Retirement Obligation</t>
  </si>
  <si>
    <t>COLSTRIP 3</t>
  </si>
  <si>
    <t>COLSTRIP 4</t>
  </si>
  <si>
    <t>COLSTRIP 3 &amp; 4 COMMON</t>
  </si>
  <si>
    <t>COLSTRIP 1-4 COMMON</t>
  </si>
  <si>
    <t>Misc. Power Plant Equip.</t>
  </si>
  <si>
    <t>Subtotal before Colstrip FERC Adjustments (Line 63 + 65)</t>
  </si>
  <si>
    <t xml:space="preserve"> ARO - Electric Colstrip 1-4 (Acct: 23001021 - 1031) Adj (AMA is Net of Accum. Amort.)</t>
  </si>
  <si>
    <t xml:space="preserve"> Colstrip Common FERC Adj. (AMA is Net of Accum. Amort.)</t>
  </si>
  <si>
    <t xml:space="preserve"> Colstrip Def Depr FERC Adj. (AMA is Net of Accum. Amort.)</t>
  </si>
  <si>
    <t>Totals</t>
  </si>
  <si>
    <t>Support for Revenue Requirement - Expenses</t>
  </si>
  <si>
    <t>Amount before</t>
  </si>
  <si>
    <t>Order</t>
  </si>
  <si>
    <t>Description</t>
  </si>
  <si>
    <t>Prod. Adj.</t>
  </si>
  <si>
    <t>Colstrip 1&amp;2 - Supv &amp; Eng'g - Steam Ope</t>
  </si>
  <si>
    <t>Colstrip 3&amp;4 - Supv &amp; Eng'g - Steam Ope</t>
  </si>
  <si>
    <t>Colstrip 1&amp;2 - Steam Exp - Steam Gen Op</t>
  </si>
  <si>
    <t>Colstrip 3&amp;4 - Steam Exp - Steam Gen Op</t>
  </si>
  <si>
    <t>Colstrip 1&amp;2 - Electric Exp - Steam Gen</t>
  </si>
  <si>
    <t>Colstrip 3&amp;4 - Electric Exp - Steam Gen</t>
  </si>
  <si>
    <t>Colstrip 1&amp;2 - Misc Stm Pwr - Steam Gen</t>
  </si>
  <si>
    <t>Colstrip 3&amp;4 - Misc Stm Pwr - Steam Gen</t>
  </si>
  <si>
    <t>Colstrip 1&amp;2 - Rents - Steam Gen Oper</t>
  </si>
  <si>
    <t>Colstrip 3&amp;4 - Rents - Steam Gen Oper</t>
  </si>
  <si>
    <t>Colstrip 1&amp;2 - Supv &amp; Eng'g - Steam Gen</t>
  </si>
  <si>
    <t>Colstrip 3&amp;4 - Supv &amp; Eng'g - Steam Gen</t>
  </si>
  <si>
    <t>Colstrip 1&amp;2 - Structures - Steam Gen M</t>
  </si>
  <si>
    <t>Colstrip 3&amp;4 - Structures - Steam Gen M</t>
  </si>
  <si>
    <t>Colstrip 1&amp;2 - Boiler Plant - Steam Gen</t>
  </si>
  <si>
    <t>Colstrip 3&amp;4 - Boiler Plant - Steam Gen</t>
  </si>
  <si>
    <t>Colstrip 1&amp;2 - Electric Plant - Steam G</t>
  </si>
  <si>
    <t>Colstrip 3&amp;4 - Electric Plant - Steam G</t>
  </si>
  <si>
    <t>Colstrip 1&amp;2 -Misc Steam Plt -Steam Gen</t>
  </si>
  <si>
    <t>Colstrip 3&amp;4 -Misc Steam Plt -Steam Gen</t>
  </si>
  <si>
    <t>Subtotal for the test year</t>
  </si>
  <si>
    <t>Adjustment to the rate year</t>
  </si>
  <si>
    <t>Subtotal on Orders</t>
  </si>
  <si>
    <t>Property Taxes-Montana</t>
  </si>
  <si>
    <t>Electric Energy Tax</t>
  </si>
  <si>
    <t>403xxxxx</t>
  </si>
  <si>
    <t>PUGET SOUND ENERGY</t>
  </si>
  <si>
    <t>PRODUCTION ADJUSTMENT</t>
  </si>
  <si>
    <t>GENERAL RATE INCREASE</t>
  </si>
  <si>
    <t>LINE</t>
  </si>
  <si>
    <t>PROFORMA</t>
  </si>
  <si>
    <t>PRODUCTION</t>
  </si>
  <si>
    <t>FIT</t>
  </si>
  <si>
    <t>NO.</t>
  </si>
  <si>
    <t>AND RESTATED</t>
  </si>
  <si>
    <t>O&amp;M ON PRODUCTION PROPERTY</t>
  </si>
  <si>
    <t>PRODUCTION WAGE INCREASE AND INCENTIVE:</t>
  </si>
  <si>
    <t>PURCHASED POWER</t>
  </si>
  <si>
    <t>OTHER POWER SUPPLY</t>
  </si>
  <si>
    <t>TOTAL PRODUCTION WAGE INCREASE</t>
  </si>
  <si>
    <t>ADMIN &amp; GENERAL EXPENSES</t>
  </si>
  <si>
    <t>PAYROLL OVERHEADS</t>
  </si>
  <si>
    <t>PROPERTY INSURANCE</t>
  </si>
  <si>
    <t>TOTAL ADMIN &amp; GENERAL EXPENSES</t>
  </si>
  <si>
    <t>DEPRECIATION / AMORTIZATION:</t>
  </si>
  <si>
    <t>DEPRECIATION</t>
  </si>
  <si>
    <t>AMORTIZATION (OTHER THAN REGULATORY ASSETS/LIAB)</t>
  </si>
  <si>
    <t>TOTAL DEPRECIATION AND AMORTIZATION (FERC 403)</t>
  </si>
  <si>
    <t>TAXES OTHER-PRODUCTION PROPERTY:</t>
  </si>
  <si>
    <t xml:space="preserve"> PROPERTY TAXES - WASHINGTON</t>
  </si>
  <si>
    <t xml:space="preserve"> PROPERTY TAXES - MONTANA</t>
  </si>
  <si>
    <t xml:space="preserve"> ELECTRIC ENERGY TAX</t>
  </si>
  <si>
    <t xml:space="preserve"> PAYROLL TAXES</t>
  </si>
  <si>
    <t>TOTAL TAXES OTHER</t>
  </si>
  <si>
    <t>WILD HORSE EXPANSION AND MINT FARM</t>
  </si>
  <si>
    <t>FUEL</t>
  </si>
  <si>
    <t>WHEELING</t>
  </si>
  <si>
    <t>SALES FOR RESALE</t>
  </si>
  <si>
    <t>PRODUCTION O&amp;M</t>
  </si>
  <si>
    <t>TOTAL NEW PLANT</t>
  </si>
  <si>
    <t>O&amp;M ON REGULATORY ASSETS:</t>
  </si>
  <si>
    <t xml:space="preserve">    GOLDENDALE FIXED COSTS DEFERRAL</t>
  </si>
  <si>
    <t>HOPKINS RIDGE INFILL MITIGATION CREDIT</t>
  </si>
  <si>
    <t xml:space="preserve">    COLSTRIP SETTLEMENT - UE-080900</t>
  </si>
  <si>
    <t xml:space="preserve">    WESTCOAST PIPELINE CAPACITY - UE-082013</t>
  </si>
  <si>
    <t xml:space="preserve">    MINT FARM DEFERRAL</t>
  </si>
  <si>
    <t xml:space="preserve">    OVER-RECOVERY MAJOR MAINTENANCE</t>
  </si>
  <si>
    <t>TOTAL AMORTIZATION OF REG ASSETS/LIABS</t>
  </si>
  <si>
    <t>TENASKA FLOW THRU</t>
  </si>
  <si>
    <t>TOTAL REGULATORY AMORT (LINE 46 + LINE 48)</t>
  </si>
  <si>
    <t>INCREASE(DECREASE) EXPENSE</t>
  </si>
  <si>
    <t xml:space="preserve">INCREASE(DECREASE) FIT </t>
  </si>
  <si>
    <t>INCREASE(DECREASE) NOI</t>
  </si>
  <si>
    <t>PRODUCTION PROPERTY RATE BASE:</t>
  </si>
  <si>
    <t>DEPRECIABLE PRODUCTION PROPERTY</t>
  </si>
  <si>
    <t>LESS PRODUCTION PROPERTY ACCUM DEPR.</t>
  </si>
  <si>
    <t>NON-DEPRECIABLE PRODUCTION PROPERTY (Baker, Whitehorn)</t>
  </si>
  <si>
    <t>LESS PRODUCTION PROPERTY ACCUM AMORT. (Baker, Whitehorn)</t>
  </si>
  <si>
    <t>COLSTRIP COMMON FERC ADJUSTMENT</t>
  </si>
  <si>
    <t>COLSTRIP DEFERRED DEPRECIATION FERC ADJ.</t>
  </si>
  <si>
    <t>ENCOGEN AND OTHER ACQUISITION ADJUSTMENTS</t>
  </si>
  <si>
    <t xml:space="preserve">    ACCUMULATED AMORTIZATION ON ACQUISTION ADJ</t>
  </si>
  <si>
    <t>NET PRODUCTION PROPERTY</t>
  </si>
  <si>
    <t>DEDUCT:</t>
  </si>
  <si>
    <t>LIBR. DEPREC. POST 1980 (EOP)</t>
  </si>
  <si>
    <t xml:space="preserve">    OTHER DEF. TAXES (AMA)</t>
  </si>
  <si>
    <t>SUBTOTAL</t>
  </si>
  <si>
    <t>ADJUSTMENT TO PRODUCTION RATE BASE</t>
  </si>
  <si>
    <t>REGULATORY ASSETS RATE BASE:</t>
  </si>
  <si>
    <t>CABOT</t>
  </si>
  <si>
    <t>TENASKA</t>
  </si>
  <si>
    <t xml:space="preserve">    PROCEED FROM THE SALE OF WHITE RIVER</t>
  </si>
  <si>
    <t xml:space="preserve">    GOLDENDALE FIXED COST DEFERRAL (NEW)</t>
  </si>
  <si>
    <t xml:space="preserve">    OVER-RECOVERY MAINTENANCE</t>
  </si>
  <si>
    <t>ADJUSTMENT TO REGULATORY ASSETS RATE BASE</t>
  </si>
  <si>
    <t>TOTAL ADJUSTMENT TO RATEBASE (LINE 73 + LINE 91)</t>
  </si>
  <si>
    <t>FOR THE TWELVE MONTHS ENDED DECEMBER 31, 2008</t>
  </si>
  <si>
    <t>POWER COSTS</t>
  </si>
  <si>
    <t>INCREASE</t>
  </si>
  <si>
    <t>ACTUAL</t>
  </si>
  <si>
    <t>(DECREASE)</t>
  </si>
  <si>
    <t>PURCHASES/SALES OF NON-CORE GAS</t>
  </si>
  <si>
    <t>WHEELING FOR OTHERS</t>
  </si>
  <si>
    <t>TOTAL OPERATING REVENUES</t>
  </si>
  <si>
    <t>PURCHASED AND INTERCHANGED</t>
  </si>
  <si>
    <t>HEDGING</t>
  </si>
  <si>
    <t>RATE DISALLOWANCES FOR MARCH POINT 2 AND TENASKA</t>
  </si>
  <si>
    <t>SUBTOTAL PURCHASED AND INTERCHANGED</t>
  </si>
  <si>
    <t>TOTAL PRODUCTION EXPENSES</t>
  </si>
  <si>
    <t>HYDRO AND OTHER POWER</t>
  </si>
  <si>
    <t xml:space="preserve">TRANS. EXP. INCL. 500KV O&amp;M </t>
  </si>
  <si>
    <t>TOTAL OPERATING EXPENSES</t>
  </si>
  <si>
    <t>INCREASE (DECREASE) INCOME</t>
  </si>
  <si>
    <t>INCREASE (DECREASE) FIT @</t>
  </si>
  <si>
    <t>INCREASE (DECREASE) NOI</t>
  </si>
  <si>
    <t>Exhibit D:  Regulatory Assets and Liabilities net of Accumulated Amortization and Deferred Taxes (PCA Periods)</t>
  </si>
  <si>
    <t>PCA Period 7 (Updated as of December 31, 2008, on January 8, 2009)</t>
  </si>
  <si>
    <t>(White River Relicensing Expenditures True-up and ROR calc. on Goldendale Deferral and HR Mitigation)</t>
  </si>
  <si>
    <t>12 Months Ended December 31</t>
  </si>
  <si>
    <t>PCA Period</t>
  </si>
  <si>
    <t>Balance</t>
  </si>
  <si>
    <t>net of</t>
  </si>
  <si>
    <t>Return</t>
  </si>
  <si>
    <t>Ref</t>
  </si>
  <si>
    <t>Interest</t>
  </si>
  <si>
    <t>Asset Amort</t>
  </si>
  <si>
    <t>DFIT</t>
  </si>
  <si>
    <t>AA &amp; ADFIT</t>
  </si>
  <si>
    <t>DFIT Amort</t>
  </si>
  <si>
    <t>A.T. %</t>
  </si>
  <si>
    <t>Amount</t>
  </si>
  <si>
    <t>Pre Tax</t>
  </si>
  <si>
    <t>Monthly</t>
  </si>
  <si>
    <t>(Note 1)</t>
  </si>
  <si>
    <t>(Note 2)</t>
  </si>
  <si>
    <t>Cabot Buyout</t>
  </si>
  <si>
    <t>G/L Accts #18230171, #19000121, and #28300461 and Order #54756012</t>
  </si>
  <si>
    <t>Beginning</t>
  </si>
  <si>
    <t>$</t>
  </si>
  <si>
    <t>Dec 2000</t>
  </si>
  <si>
    <t>Dec 2001</t>
  </si>
  <si>
    <t>Dec 2002</t>
  </si>
  <si>
    <t>Dec 2003</t>
  </si>
  <si>
    <t>Dec 2004</t>
  </si>
  <si>
    <t>Dec 2005</t>
  </si>
  <si>
    <t>7.3%&amp;7.01%</t>
  </si>
  <si>
    <t>Dec 2006</t>
  </si>
  <si>
    <t>Dec 2007</t>
  </si>
  <si>
    <t>7.01%&amp;7.06%</t>
  </si>
  <si>
    <t>Dec 2008</t>
  </si>
  <si>
    <t>7.06%&amp;7.00%</t>
  </si>
  <si>
    <t>Dec 2009</t>
  </si>
  <si>
    <t>Tenaska</t>
  </si>
  <si>
    <t>G/L Accts #18230001 and #28300451 and Order #55500423</t>
  </si>
  <si>
    <t>Dec 1998</t>
  </si>
  <si>
    <t>Dec 1999</t>
  </si>
  <si>
    <t>Dec 2010</t>
  </si>
  <si>
    <t>Dec 2011</t>
  </si>
  <si>
    <t>Dec 2012</t>
  </si>
  <si>
    <t>G/L Accts #18230071, #18230081, and #28300431 and Order #55500007</t>
  </si>
  <si>
    <t>Dec 2013</t>
  </si>
  <si>
    <t>Dec 2014</t>
  </si>
  <si>
    <t>Dec 2015</t>
  </si>
  <si>
    <t>Dec 2016</t>
  </si>
  <si>
    <t>Dec 2017</t>
  </si>
  <si>
    <t>Dec 2018</t>
  </si>
  <si>
    <t>White River Relicensing (Note 2)</t>
  </si>
  <si>
    <t>G/L Accts #18230641, 691, #18236021, 6031, 6041, 6051, 6061, 6071,  #18230971, #19000021 and #28300011</t>
  </si>
  <si>
    <t>White River Plant Costs</t>
  </si>
  <si>
    <t>G/L Accts #18220011, 21, 31, 41 and 51 and Order #40700015 DFIT included in #28200121</t>
  </si>
  <si>
    <t>Canwest Liability</t>
  </si>
  <si>
    <t>G/L Accts #25400021, #14300061 and #19000451 and Order #547 / #456</t>
  </si>
  <si>
    <t>Hopkins Ridge Prepaid Transm (Notes 3/4)</t>
  </si>
  <si>
    <t>G/L Accts #18230231, #18230371, Orders #56500011 and #56500021</t>
  </si>
  <si>
    <t>Goldendale Fixed Cost Deferral</t>
  </si>
  <si>
    <t>G/L Accts #18230381, 391, #28300541 and #28300551 and Order #40730041</t>
  </si>
  <si>
    <t>Hopkins Ridge Mitigation Credit</t>
  </si>
  <si>
    <t>G/L Accts #25400171 and #19000561 and Order #55500017</t>
  </si>
  <si>
    <t>Period</t>
  </si>
  <si>
    <t>From</t>
  </si>
  <si>
    <t>To</t>
  </si>
  <si>
    <t>(Annualized)</t>
  </si>
  <si>
    <t>PCA #3</t>
  </si>
  <si>
    <t>PCA #4</t>
  </si>
  <si>
    <t>PCA #5</t>
  </si>
  <si>
    <t>PCA #6</t>
  </si>
  <si>
    <t>PCA #7</t>
  </si>
  <si>
    <t>PCA #8</t>
  </si>
  <si>
    <t>PCA #9</t>
  </si>
  <si>
    <r>
      <t>Note (1)</t>
    </r>
    <r>
      <rPr>
        <sz val="10"/>
        <rFont val="Arial"/>
        <family val="2"/>
      </rPr>
      <t xml:space="preserve">  </t>
    </r>
    <r>
      <rPr>
        <sz val="10"/>
        <rFont val="Arial"/>
        <family val="2"/>
      </rPr>
      <t>Amounts in these columns are net of accumulated amortization AND the associated Deferred FIT liabilitiy / asset.</t>
    </r>
  </si>
  <si>
    <r>
      <t xml:space="preserve">Note (2)  </t>
    </r>
    <r>
      <rPr>
        <sz val="10"/>
        <rFont val="Arial"/>
        <family val="2"/>
      </rPr>
      <t>During the 2004 General Rate Case filed under WUTC Docket No. UE-040640, et al., it</t>
    </r>
  </si>
  <si>
    <t>was agreed that the return of the White River Relicensing costs would be delayed until the sale of White</t>
  </si>
  <si>
    <t>River is complete.  At that time, the Commission can make a final determination in a separate</t>
  </si>
  <si>
    <t>proceeding regarding the application of the proceeds against the deferred costs and the disposition of any</t>
  </si>
  <si>
    <t>remaining balance.</t>
  </si>
  <si>
    <r>
      <t xml:space="preserve">AMA Ratebase </t>
    </r>
    <r>
      <rPr>
        <b/>
        <sz val="6"/>
        <rFont val="Arial"/>
        <family val="2"/>
      </rPr>
      <t>as of</t>
    </r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</si>
</sst>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0.0000%"/>
    <numFmt numFmtId="166" formatCode="0.0%"/>
    <numFmt numFmtId="167" formatCode="0.000%"/>
    <numFmt numFmtId="168" formatCode="0.00000"/>
    <numFmt numFmtId="169" formatCode="0.0000000"/>
    <numFmt numFmtId="170" formatCode="#,##0.0000000;\(#,##0.0000000\)"/>
    <numFmt numFmtId="171" formatCode="#,##0;\(#,##0\)"/>
    <numFmt numFmtId="172" formatCode="yyyy"/>
    <numFmt numFmtId="173" formatCode="0.0000000%"/>
    <numFmt numFmtId="174" formatCode="_(* #,##0_);_(* \(#,##0\);_(* &quot;-&quot;??_);_(@_)"/>
    <numFmt numFmtId="175" formatCode="_(&quot;$&quot;* #,##0_);_(&quot;$&quot;* \(#,##0\);_(&quot;$&quot;* &quot;-&quot;??_);_(@_)"/>
    <numFmt numFmtId="176" formatCode="_(* #,##0_);[Red]_(* \(#,##0\);_(* &quot;-&quot;_);_(@_)"/>
    <numFmt numFmtId="177" formatCode="_(&quot;$&quot;* #,##0_);[Red]_(&quot;$&quot;* \(#,##0\);_(&quot;$&quot;* &quot;-&quot;_);_(@_)"/>
    <numFmt numFmtId="178" formatCode="_(&quot;$&quot;* #,##0.00_);_(&quot;$&quot;* \(#,##0.00\);_(&quot;$&quot;* &quot;-&quot;_);_(@_)"/>
    <numFmt numFmtId="179" formatCode="_(* #,##0.0000_);_(* \(#,##0.0000\);_(* &quot;-&quot;_);_(@_)"/>
    <numFmt numFmtId="180" formatCode="_(* #,##0.000000_);_(* \(#,##0.000000\);_(* &quot;-&quot;_);_(@_)"/>
    <numFmt numFmtId="181" formatCode="#,##0.00000_);[Red]\(#,##0.00000\)"/>
    <numFmt numFmtId="182" formatCode="_(* #,##0.000_);_(* \(#,##0.000\);_(* &quot;-&quot;??_);_(@_)"/>
    <numFmt numFmtId="183" formatCode="_(* #,##0.00000_);_(* \(#,##0.00000\);_(* &quot;-&quot;??_);_(@_)"/>
    <numFmt numFmtId="184" formatCode="_(* #,##0.0000000_);_(* \(#,##0.0000000\);_(* &quot;-&quot;??_);_(@_)"/>
    <numFmt numFmtId="185" formatCode="_(&quot;$&quot;* #,##0.000_);_(&quot;$&quot;* \(#,##0.000\);_(&quot;$&quot;* &quot;-&quot;??_);_(@_)"/>
    <numFmt numFmtId="186" formatCode="_(&quot;$&quot;* #,##0.000_);_(&quot;$&quot;* \(#,##0.000\);_(&quot;$&quot;* &quot;-&quot;???_);_(@_)"/>
    <numFmt numFmtId="187" formatCode="_(&quot;$&quot;* #,##0.000000_);_(&quot;$&quot;* \(#,##0.000000\);_(&quot;$&quot;* &quot;-&quot;??????_);_(@_)"/>
    <numFmt numFmtId="188" formatCode="0.000000"/>
    <numFmt numFmtId="189" formatCode="mm/dd/yy;@"/>
    <numFmt numFmtId="190" formatCode="_(* #,##0.0_);_(* \(#,##0.0\);_(* &quot;-&quot;_);_(@_)"/>
    <numFmt numFmtId="191" formatCode="_(* ###0_);_(* \(###0\);_(* &quot;-&quot;_);_(@_)"/>
    <numFmt numFmtId="192" formatCode="0;[Red]0"/>
    <numFmt numFmtId="193" formatCode="0_);\(0\)"/>
    <numFmt numFmtId="194" formatCode="0.00000%"/>
    <numFmt numFmtId="195" formatCode="&quot;PAGE&quot;\ 0.00"/>
    <numFmt numFmtId="196" formatCode="_(&quot;$&quot;* #,##0.0_);_(&quot;$&quot;* \(#,##0.0\);_(&quot;$&quot;* &quot;-&quot;??_);_(@_)"/>
    <numFmt numFmtId="197" formatCode="d\.mmm\.yy"/>
    <numFmt numFmtId="198" formatCode="#,##0.000"/>
    <numFmt numFmtId="199" formatCode="#,##0.0000000"/>
    <numFmt numFmtId="200" formatCode="_(* #,##0.000000_);_(* \(#,##0.000000\);_(* &quot;-&quot;??_);_(@_)"/>
    <numFmt numFmtId="201" formatCode="_(&quot;$&quot;* #,##0.000000_);_(&quot;$&quot;* \(#,##0.000000\);_(&quot;$&quot;* &quot;-&quot;??_);_(@_)"/>
    <numFmt numFmtId="202" formatCode="_(&quot;$&quot;* #,##0.00000_);_(&quot;$&quot;* \(#,##0.00000\);_(&quot;$&quot;* &quot;-&quot;??????_);_(@_)"/>
    <numFmt numFmtId="203" formatCode="_(&quot;$&quot;* #,##0.000000_);_(&quot;$&quot;* \(#,##0.000000\);_(&quot;$&quot;* &quot;-&quot;_);_(@_)"/>
    <numFmt numFmtId="204" formatCode="#,##0.000000"/>
    <numFmt numFmtId="205" formatCode="_(&quot;$&quot;* #,##0.0000000_);_(&quot;$&quot;* \(#,##0.0000000\);_(&quot;$&quot;* &quot;-&quot;_);_(@_)"/>
    <numFmt numFmtId="206" formatCode="_(&quot;$&quot;* #,##0.000000000_);_(&quot;$&quot;* \(#,##0.000000000\);_(&quot;$&quot;* &quot;-&quot;??????_);_(@_)"/>
    <numFmt numFmtId="207" formatCode="m/yy"/>
    <numFmt numFmtId="208" formatCode="mmm\ yyyy"/>
    <numFmt numFmtId="209" formatCode="#,##0.0000"/>
    <numFmt numFmtId="210" formatCode="_(&quot;$&quot;* #,##0.0000000000_);_(&quot;$&quot;* \(#,##0.0000000000\);_(&quot;$&quot;* &quot;-&quot;??????_);_(@_)"/>
    <numFmt numFmtId="211" formatCode="_(* #,##0.00000000_);_(* \(#,##0.00000000\);_(* &quot;-&quot;??_);_(@_)"/>
    <numFmt numFmtId="212" formatCode="#."/>
    <numFmt numFmtId="213" formatCode="_(&quot;$&quot;* #,##0.0000_);_(&quot;$&quot;* \(#,##0.0000\);_(&quot;$&quot;* &quot;-&quot;????_);_(@_)"/>
    <numFmt numFmtId="214" formatCode="&quot;$&quot;#,##0.00"/>
    <numFmt numFmtId="215" formatCode="#,##0.000_);\(#,##0.000\)"/>
    <numFmt numFmtId="216" formatCode="#,##0.00000"/>
    <numFmt numFmtId="217" formatCode="_(* #,##0.00_);_(* \(#,##0.00\);_(* &quot;-&quot;_);_(@_)"/>
    <numFmt numFmtId="218" formatCode="_(* #,##0.00000_);_(* \(#,##0.00000\);_(* &quot;-&quot;_);_(@_)"/>
    <numFmt numFmtId="219" formatCode="[$-409]mmmm\-yy;@"/>
    <numFmt numFmtId="220" formatCode="m/d/yy"/>
    <numFmt numFmtId="221" formatCode="&quot;$&quot;#,##0;\-&quot;$&quot;#,##0"/>
    <numFmt numFmtId="222" formatCode="_(* #,##0.000000_);_(* \(#,##0.000000\);_(* &quot;-&quot;??????_);_(@_)"/>
    <numFmt numFmtId="223" formatCode="0.000000%"/>
    <numFmt numFmtId="224" formatCode="0.000000000000000%"/>
    <numFmt numFmtId="225" formatCode="#,##0.0"/>
    <numFmt numFmtId="226" formatCode="&quot;Page 4.0&quot;0"/>
    <numFmt numFmtId="227" formatCode="&quot;Page 4.&quot;0"/>
  </numFmts>
  <fonts count="71">
    <font>
      <sz val="8"/>
      <name val="Helv"/>
      <family val="0"/>
    </font>
    <font>
      <sz val="8"/>
      <name val="Roman 17cpi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9"/>
      <name val="Calibri"/>
      <family val="2"/>
    </font>
    <font>
      <sz val="11"/>
      <name val="univers (E1)"/>
      <family val="0"/>
    </font>
    <font>
      <sz val="12"/>
      <color indexed="24"/>
      <name val="Arial"/>
      <family val="2"/>
    </font>
    <font>
      <sz val="10"/>
      <name val="Helv"/>
      <family val="0"/>
    </font>
    <font>
      <sz val="12"/>
      <name val="TIMES"/>
      <family val="0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10"/>
      <color indexed="22"/>
      <name val="Arial"/>
      <family val="2"/>
    </font>
    <font>
      <i/>
      <sz val="11"/>
      <color indexed="23"/>
      <name val="Calibri"/>
      <family val="2"/>
    </font>
    <font>
      <u val="single"/>
      <sz val="10"/>
      <color indexed="14"/>
      <name val="MS Sans Serif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color indexed="56"/>
      <name val="Calibri"/>
      <family val="2"/>
    </font>
    <font>
      <b/>
      <sz val="8"/>
      <name val="Arial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b/>
      <sz val="10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0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23"/>
      <name val="Arial"/>
      <family val="2"/>
    </font>
    <font>
      <b/>
      <sz val="8"/>
      <color indexed="8"/>
      <name val="Helv"/>
      <family val="0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Arial"/>
      <family val="2"/>
    </font>
    <font>
      <u val="single"/>
      <sz val="9"/>
      <name val="Arial"/>
      <family val="2"/>
    </font>
    <font>
      <u val="single"/>
      <sz val="10"/>
      <name val="Arial"/>
      <family val="2"/>
    </font>
    <font>
      <b/>
      <i/>
      <sz val="10"/>
      <name val="Times New Roman"/>
      <family val="1"/>
    </font>
    <font>
      <sz val="6"/>
      <name val="Arial"/>
      <family val="2"/>
    </font>
    <font>
      <b/>
      <sz val="8"/>
      <color indexed="8"/>
      <name val="Arial"/>
      <family val="2"/>
    </font>
    <font>
      <sz val="10"/>
      <color indexed="10"/>
      <name val="Arial"/>
      <family val="2"/>
    </font>
    <font>
      <sz val="8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Arial"/>
      <family val="2"/>
    </font>
    <font>
      <b/>
      <sz val="6"/>
      <name val="Arial"/>
      <family val="2"/>
    </font>
    <font>
      <b/>
      <u val="single"/>
      <sz val="10"/>
      <name val="Arial"/>
      <family val="2"/>
    </font>
    <font>
      <b/>
      <u val="single"/>
      <sz val="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8"/>
      <name val="Helv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</borders>
  <cellStyleXfs count="461">
    <xf numFmtId="188" fontId="0" fillId="0" borderId="0">
      <alignment horizontal="left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188" fontId="4" fillId="0" borderId="0">
      <alignment horizontal="left" wrapText="1"/>
      <protection/>
    </xf>
    <xf numFmtId="188" fontId="4" fillId="0" borderId="0">
      <alignment horizontal="left" wrapText="1"/>
      <protection/>
    </xf>
    <xf numFmtId="188" fontId="4" fillId="0" borderId="0">
      <alignment horizontal="left" wrapText="1"/>
      <protection/>
    </xf>
    <xf numFmtId="188" fontId="4" fillId="0" borderId="0">
      <alignment horizontal="left" wrapText="1"/>
      <protection/>
    </xf>
    <xf numFmtId="188" fontId="4" fillId="0" borderId="0">
      <alignment horizontal="left" wrapText="1"/>
      <protection/>
    </xf>
    <xf numFmtId="188" fontId="4" fillId="0" borderId="0">
      <alignment horizontal="left" wrapText="1"/>
      <protection/>
    </xf>
    <xf numFmtId="188" fontId="4" fillId="0" borderId="0">
      <alignment horizontal="left" wrapText="1"/>
      <protection/>
    </xf>
    <xf numFmtId="188" fontId="4" fillId="0" borderId="0">
      <alignment horizontal="left" wrapText="1"/>
      <protection/>
    </xf>
    <xf numFmtId="183" fontId="4" fillId="0" borderId="0">
      <alignment horizontal="left" wrapText="1"/>
      <protection/>
    </xf>
    <xf numFmtId="183" fontId="4" fillId="0" borderId="0">
      <alignment horizontal="left" wrapText="1"/>
      <protection/>
    </xf>
    <xf numFmtId="183" fontId="4" fillId="0" borderId="0">
      <alignment horizontal="left" wrapText="1"/>
      <protection/>
    </xf>
    <xf numFmtId="183" fontId="4" fillId="0" borderId="0">
      <alignment horizontal="left" wrapText="1"/>
      <protection/>
    </xf>
    <xf numFmtId="183" fontId="4" fillId="0" borderId="0">
      <alignment horizontal="left" wrapText="1"/>
      <protection/>
    </xf>
    <xf numFmtId="183" fontId="4" fillId="0" borderId="0">
      <alignment horizontal="left" wrapText="1"/>
      <protection/>
    </xf>
    <xf numFmtId="183" fontId="4" fillId="0" borderId="0">
      <alignment horizontal="left" wrapText="1"/>
      <protection/>
    </xf>
    <xf numFmtId="183" fontId="4" fillId="0" borderId="0">
      <alignment horizontal="left" wrapText="1"/>
      <protection/>
    </xf>
    <xf numFmtId="169" fontId="4" fillId="0" borderId="0">
      <alignment horizontal="left" wrapText="1"/>
      <protection/>
    </xf>
    <xf numFmtId="183" fontId="4" fillId="0" borderId="0">
      <alignment horizontal="left" wrapText="1"/>
      <protection/>
    </xf>
    <xf numFmtId="183" fontId="4" fillId="0" borderId="0">
      <alignment horizontal="left" wrapText="1"/>
      <protection/>
    </xf>
    <xf numFmtId="183" fontId="4" fillId="0" borderId="0">
      <alignment horizontal="left" wrapText="1"/>
      <protection/>
    </xf>
    <xf numFmtId="183" fontId="4" fillId="0" borderId="0">
      <alignment horizontal="left" wrapText="1"/>
      <protection/>
    </xf>
    <xf numFmtId="183" fontId="4" fillId="0" borderId="0">
      <alignment horizontal="left" wrapText="1"/>
      <protection/>
    </xf>
    <xf numFmtId="183" fontId="4" fillId="0" borderId="0">
      <alignment horizontal="left" wrapText="1"/>
      <protection/>
    </xf>
    <xf numFmtId="183" fontId="4" fillId="0" borderId="0">
      <alignment horizontal="left" wrapText="1"/>
      <protection/>
    </xf>
    <xf numFmtId="183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83" fontId="4" fillId="0" borderId="0">
      <alignment horizontal="left" wrapText="1"/>
      <protection/>
    </xf>
    <xf numFmtId="183" fontId="4" fillId="0" borderId="0">
      <alignment horizontal="left" wrapText="1"/>
      <protection/>
    </xf>
    <xf numFmtId="183" fontId="4" fillId="0" borderId="0">
      <alignment horizontal="left" wrapText="1"/>
      <protection/>
    </xf>
    <xf numFmtId="183" fontId="4" fillId="0" borderId="0">
      <alignment horizontal="left" wrapText="1"/>
      <protection/>
    </xf>
    <xf numFmtId="183" fontId="4" fillId="0" borderId="0">
      <alignment horizontal="left" wrapText="1"/>
      <protection/>
    </xf>
    <xf numFmtId="183" fontId="4" fillId="0" borderId="0">
      <alignment horizontal="left" wrapText="1"/>
      <protection/>
    </xf>
    <xf numFmtId="183" fontId="4" fillId="0" borderId="0">
      <alignment horizontal="left" wrapText="1"/>
      <protection/>
    </xf>
    <xf numFmtId="183" fontId="4" fillId="0" borderId="0">
      <alignment horizontal="left" wrapText="1"/>
      <protection/>
    </xf>
    <xf numFmtId="188" fontId="4" fillId="0" borderId="0">
      <alignment horizontal="left" wrapText="1"/>
      <protection/>
    </xf>
    <xf numFmtId="188" fontId="4" fillId="0" borderId="0">
      <alignment horizontal="left" wrapText="1"/>
      <protection/>
    </xf>
    <xf numFmtId="188" fontId="4" fillId="0" borderId="0">
      <alignment horizontal="left" wrapText="1"/>
      <protection/>
    </xf>
    <xf numFmtId="188" fontId="4" fillId="0" borderId="0">
      <alignment horizontal="left" wrapText="1"/>
      <protection/>
    </xf>
    <xf numFmtId="188" fontId="4" fillId="0" borderId="0">
      <alignment horizontal="left" wrapText="1"/>
      <protection/>
    </xf>
    <xf numFmtId="188" fontId="4" fillId="0" borderId="0">
      <alignment horizontal="left" wrapText="1"/>
      <protection/>
    </xf>
    <xf numFmtId="183" fontId="4" fillId="0" borderId="0">
      <alignment horizontal="left" wrapText="1"/>
      <protection/>
    </xf>
    <xf numFmtId="183" fontId="4" fillId="0" borderId="0">
      <alignment horizontal="left" wrapText="1"/>
      <protection/>
    </xf>
    <xf numFmtId="183" fontId="4" fillId="0" borderId="0">
      <alignment horizontal="left" wrapText="1"/>
      <protection/>
    </xf>
    <xf numFmtId="183" fontId="4" fillId="0" borderId="0">
      <alignment horizontal="left" wrapText="1"/>
      <protection/>
    </xf>
    <xf numFmtId="183" fontId="4" fillId="0" borderId="0">
      <alignment horizontal="left" wrapText="1"/>
      <protection/>
    </xf>
    <xf numFmtId="183" fontId="4" fillId="0" borderId="0">
      <alignment horizontal="left" wrapText="1"/>
      <protection/>
    </xf>
    <xf numFmtId="183" fontId="4" fillId="0" borderId="0">
      <alignment horizontal="left" wrapText="1"/>
      <protection/>
    </xf>
    <xf numFmtId="183" fontId="4" fillId="0" borderId="0">
      <alignment horizontal="left" wrapText="1"/>
      <protection/>
    </xf>
    <xf numFmtId="183" fontId="4" fillId="0" borderId="0">
      <alignment horizontal="left" wrapText="1"/>
      <protection/>
    </xf>
    <xf numFmtId="183" fontId="4" fillId="0" borderId="0">
      <alignment horizontal="left" wrapText="1"/>
      <protection/>
    </xf>
    <xf numFmtId="183" fontId="4" fillId="0" borderId="0">
      <alignment horizontal="left" wrapText="1"/>
      <protection/>
    </xf>
    <xf numFmtId="183" fontId="4" fillId="0" borderId="0">
      <alignment horizontal="left" wrapText="1"/>
      <protection/>
    </xf>
    <xf numFmtId="183" fontId="4" fillId="0" borderId="0">
      <alignment horizontal="left" wrapText="1"/>
      <protection/>
    </xf>
    <xf numFmtId="183" fontId="4" fillId="0" borderId="0">
      <alignment horizontal="left" wrapText="1"/>
      <protection/>
    </xf>
    <xf numFmtId="183" fontId="4" fillId="0" borderId="0">
      <alignment horizontal="left" wrapText="1"/>
      <protection/>
    </xf>
    <xf numFmtId="183" fontId="4" fillId="0" borderId="0">
      <alignment horizontal="left" wrapText="1"/>
      <protection/>
    </xf>
    <xf numFmtId="183" fontId="4" fillId="0" borderId="0">
      <alignment horizontal="left" wrapText="1"/>
      <protection/>
    </xf>
    <xf numFmtId="183" fontId="4" fillId="0" borderId="0">
      <alignment horizontal="left" wrapText="1"/>
      <protection/>
    </xf>
    <xf numFmtId="183" fontId="4" fillId="0" borderId="0">
      <alignment horizontal="left" wrapText="1"/>
      <protection/>
    </xf>
    <xf numFmtId="183" fontId="4" fillId="0" borderId="0">
      <alignment horizontal="left" wrapText="1"/>
      <protection/>
    </xf>
    <xf numFmtId="183" fontId="4" fillId="0" borderId="0">
      <alignment horizontal="left" wrapText="1"/>
      <protection/>
    </xf>
    <xf numFmtId="183" fontId="4" fillId="0" borderId="0">
      <alignment horizontal="left" wrapText="1"/>
      <protection/>
    </xf>
    <xf numFmtId="183" fontId="4" fillId="0" borderId="0">
      <alignment horizontal="left" wrapText="1"/>
      <protection/>
    </xf>
    <xf numFmtId="188" fontId="4" fillId="0" borderId="0">
      <alignment horizontal="left" wrapText="1"/>
      <protection/>
    </xf>
    <xf numFmtId="188" fontId="4" fillId="0" borderId="0">
      <alignment horizontal="left" wrapText="1"/>
      <protection/>
    </xf>
    <xf numFmtId="188" fontId="4" fillId="0" borderId="0">
      <alignment horizontal="left" wrapText="1"/>
      <protection/>
    </xf>
    <xf numFmtId="188" fontId="4" fillId="0" borderId="0">
      <alignment horizontal="left" wrapText="1"/>
      <protection/>
    </xf>
    <xf numFmtId="188" fontId="4" fillId="0" borderId="0">
      <alignment horizontal="left" wrapText="1"/>
      <protection/>
    </xf>
    <xf numFmtId="188" fontId="4" fillId="0" borderId="0">
      <alignment horizontal="left" wrapText="1"/>
      <protection/>
    </xf>
    <xf numFmtId="188" fontId="4" fillId="0" borderId="0">
      <alignment horizontal="left" wrapText="1"/>
      <protection/>
    </xf>
    <xf numFmtId="188" fontId="4" fillId="0" borderId="0">
      <alignment horizontal="left" wrapText="1"/>
      <protection/>
    </xf>
    <xf numFmtId="188" fontId="4" fillId="0" borderId="0">
      <alignment horizontal="left" wrapText="1"/>
      <protection/>
    </xf>
    <xf numFmtId="188" fontId="4" fillId="0" borderId="0">
      <alignment horizontal="left" wrapText="1"/>
      <protection/>
    </xf>
    <xf numFmtId="188" fontId="4" fillId="0" borderId="0">
      <alignment horizontal="left" wrapText="1"/>
      <protection/>
    </xf>
    <xf numFmtId="188" fontId="4" fillId="0" borderId="0">
      <alignment horizontal="left" wrapText="1"/>
      <protection/>
    </xf>
    <xf numFmtId="188" fontId="4" fillId="0" borderId="0">
      <alignment horizontal="left" wrapText="1"/>
      <protection/>
    </xf>
    <xf numFmtId="183" fontId="4" fillId="0" borderId="0">
      <alignment horizontal="left" wrapText="1"/>
      <protection/>
    </xf>
    <xf numFmtId="183" fontId="4" fillId="0" borderId="0">
      <alignment horizontal="left" wrapText="1"/>
      <protection/>
    </xf>
    <xf numFmtId="183" fontId="4" fillId="0" borderId="0">
      <alignment horizontal="left" wrapText="1"/>
      <protection/>
    </xf>
    <xf numFmtId="183" fontId="4" fillId="0" borderId="0">
      <alignment horizontal="left" wrapText="1"/>
      <protection/>
    </xf>
    <xf numFmtId="183" fontId="4" fillId="0" borderId="0">
      <alignment horizontal="left" wrapText="1"/>
      <protection/>
    </xf>
    <xf numFmtId="183" fontId="4" fillId="0" borderId="0">
      <alignment horizontal="left" wrapText="1"/>
      <protection/>
    </xf>
    <xf numFmtId="183" fontId="4" fillId="0" borderId="0">
      <alignment horizontal="left" wrapText="1"/>
      <protection/>
    </xf>
    <xf numFmtId="183" fontId="4" fillId="0" borderId="0">
      <alignment horizontal="left" wrapText="1"/>
      <protection/>
    </xf>
    <xf numFmtId="183" fontId="4" fillId="0" borderId="0">
      <alignment horizontal="left" wrapText="1"/>
      <protection/>
    </xf>
    <xf numFmtId="183" fontId="4" fillId="0" borderId="0">
      <alignment horizontal="left" wrapText="1"/>
      <protection/>
    </xf>
    <xf numFmtId="183" fontId="4" fillId="0" borderId="0">
      <alignment horizontal="left" wrapText="1"/>
      <protection/>
    </xf>
    <xf numFmtId="0" fontId="5" fillId="0" borderId="0">
      <alignment/>
      <protection/>
    </xf>
    <xf numFmtId="183" fontId="4" fillId="0" borderId="0">
      <alignment horizontal="left" wrapText="1"/>
      <protection/>
    </xf>
    <xf numFmtId="183" fontId="4" fillId="0" borderId="0">
      <alignment horizontal="left" wrapText="1"/>
      <protection/>
    </xf>
    <xf numFmtId="188" fontId="4" fillId="0" borderId="0">
      <alignment horizontal="left" wrapText="1"/>
      <protection/>
    </xf>
    <xf numFmtId="188" fontId="4" fillId="0" borderId="0">
      <alignment horizontal="left" wrapText="1"/>
      <protection/>
    </xf>
    <xf numFmtId="188" fontId="4" fillId="0" borderId="0">
      <alignment horizontal="left" wrapText="1"/>
      <protection/>
    </xf>
    <xf numFmtId="188" fontId="4" fillId="0" borderId="0">
      <alignment horizontal="left" wrapText="1"/>
      <protection/>
    </xf>
    <xf numFmtId="188" fontId="4" fillId="0" borderId="0">
      <alignment horizontal="left" wrapText="1"/>
      <protection/>
    </xf>
    <xf numFmtId="188" fontId="4" fillId="0" borderId="0">
      <alignment horizontal="left" wrapText="1"/>
      <protection/>
    </xf>
    <xf numFmtId="188" fontId="4" fillId="0" borderId="0">
      <alignment horizontal="left" wrapText="1"/>
      <protection/>
    </xf>
    <xf numFmtId="188" fontId="4" fillId="0" borderId="0">
      <alignment horizontal="left" wrapText="1"/>
      <protection/>
    </xf>
    <xf numFmtId="188" fontId="4" fillId="0" borderId="0">
      <alignment horizontal="left" wrapText="1"/>
      <protection/>
    </xf>
    <xf numFmtId="188" fontId="4" fillId="0" borderId="0">
      <alignment horizontal="left" wrapText="1"/>
      <protection/>
    </xf>
    <xf numFmtId="188" fontId="4" fillId="0" borderId="0">
      <alignment horizontal="left" wrapText="1"/>
      <protection/>
    </xf>
    <xf numFmtId="188" fontId="4" fillId="0" borderId="0">
      <alignment horizontal="left" wrapText="1"/>
      <protection/>
    </xf>
    <xf numFmtId="188" fontId="4" fillId="0" borderId="0">
      <alignment horizontal="left" wrapText="1"/>
      <protection/>
    </xf>
    <xf numFmtId="188" fontId="4" fillId="0" borderId="0">
      <alignment horizontal="left" wrapText="1"/>
      <protection/>
    </xf>
    <xf numFmtId="188" fontId="4" fillId="0" borderId="0">
      <alignment horizontal="left" wrapText="1"/>
      <protection/>
    </xf>
    <xf numFmtId="188" fontId="4" fillId="0" borderId="0">
      <alignment horizontal="left" wrapText="1"/>
      <protection/>
    </xf>
    <xf numFmtId="188" fontId="4" fillId="0" borderId="0">
      <alignment horizontal="left" wrapText="1"/>
      <protection/>
    </xf>
    <xf numFmtId="188" fontId="4" fillId="0" borderId="0">
      <alignment horizontal="left" wrapText="1"/>
      <protection/>
    </xf>
    <xf numFmtId="188" fontId="4" fillId="0" borderId="0">
      <alignment horizontal="left" wrapText="1"/>
      <protection/>
    </xf>
    <xf numFmtId="188" fontId="4" fillId="0" borderId="0">
      <alignment horizontal="left" wrapText="1"/>
      <protection/>
    </xf>
    <xf numFmtId="0" fontId="4" fillId="0" borderId="0">
      <alignment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83" fontId="4" fillId="0" borderId="0">
      <alignment horizontal="left" wrapText="1"/>
      <protection/>
    </xf>
    <xf numFmtId="183" fontId="4" fillId="0" borderId="0">
      <alignment horizontal="left" wrapText="1"/>
      <protection/>
    </xf>
    <xf numFmtId="183" fontId="4" fillId="0" borderId="0">
      <alignment horizontal="left" wrapText="1"/>
      <protection/>
    </xf>
    <xf numFmtId="183" fontId="4" fillId="0" borderId="0">
      <alignment horizontal="left" wrapText="1"/>
      <protection/>
    </xf>
    <xf numFmtId="183" fontId="4" fillId="0" borderId="0">
      <alignment horizontal="left" wrapText="1"/>
      <protection/>
    </xf>
    <xf numFmtId="183" fontId="4" fillId="0" borderId="0">
      <alignment horizontal="left" wrapText="1"/>
      <protection/>
    </xf>
    <xf numFmtId="183" fontId="4" fillId="0" borderId="0">
      <alignment horizontal="left" wrapText="1"/>
      <protection/>
    </xf>
    <xf numFmtId="183" fontId="4" fillId="0" borderId="0">
      <alignment horizontal="left" wrapText="1"/>
      <protection/>
    </xf>
    <xf numFmtId="183" fontId="4" fillId="0" borderId="0">
      <alignment horizontal="left" wrapText="1"/>
      <protection/>
    </xf>
    <xf numFmtId="183" fontId="4" fillId="0" borderId="0">
      <alignment horizontal="left" wrapText="1"/>
      <protection/>
    </xf>
    <xf numFmtId="183" fontId="4" fillId="0" borderId="0">
      <alignment horizontal="left" wrapText="1"/>
      <protection/>
    </xf>
    <xf numFmtId="183" fontId="4" fillId="0" borderId="0">
      <alignment horizontal="left" wrapText="1"/>
      <protection/>
    </xf>
    <xf numFmtId="183" fontId="4" fillId="0" borderId="0">
      <alignment horizontal="left" wrapText="1"/>
      <protection/>
    </xf>
    <xf numFmtId="183" fontId="4" fillId="0" borderId="0">
      <alignment horizontal="left" wrapText="1"/>
      <protection/>
    </xf>
    <xf numFmtId="183" fontId="4" fillId="0" borderId="0">
      <alignment horizontal="left" wrapText="1"/>
      <protection/>
    </xf>
    <xf numFmtId="183" fontId="4" fillId="0" borderId="0">
      <alignment horizontal="left" wrapText="1"/>
      <protection/>
    </xf>
    <xf numFmtId="183" fontId="4" fillId="0" borderId="0">
      <alignment horizontal="left" wrapText="1"/>
      <protection/>
    </xf>
    <xf numFmtId="183" fontId="4" fillId="0" borderId="0">
      <alignment horizontal="left" wrapText="1"/>
      <protection/>
    </xf>
    <xf numFmtId="183" fontId="4" fillId="0" borderId="0">
      <alignment horizontal="left" wrapText="1"/>
      <protection/>
    </xf>
    <xf numFmtId="183" fontId="4" fillId="0" borderId="0">
      <alignment horizontal="left" wrapText="1"/>
      <protection/>
    </xf>
    <xf numFmtId="183" fontId="4" fillId="0" borderId="0">
      <alignment horizontal="left" wrapText="1"/>
      <protection/>
    </xf>
    <xf numFmtId="183" fontId="4" fillId="0" borderId="0">
      <alignment horizontal="left" wrapText="1"/>
      <protection/>
    </xf>
    <xf numFmtId="183" fontId="4" fillId="0" borderId="0">
      <alignment horizontal="left" wrapText="1"/>
      <protection/>
    </xf>
    <xf numFmtId="183" fontId="4" fillId="0" borderId="0">
      <alignment horizontal="left" wrapText="1"/>
      <protection/>
    </xf>
    <xf numFmtId="183" fontId="4" fillId="0" borderId="0">
      <alignment horizontal="left" wrapText="1"/>
      <protection/>
    </xf>
    <xf numFmtId="188" fontId="4" fillId="0" borderId="0">
      <alignment horizontal="left" wrapText="1"/>
      <protection/>
    </xf>
    <xf numFmtId="188" fontId="4" fillId="0" borderId="0">
      <alignment horizontal="left" wrapText="1"/>
      <protection/>
    </xf>
    <xf numFmtId="188" fontId="4" fillId="0" borderId="0">
      <alignment horizontal="left" wrapText="1"/>
      <protection/>
    </xf>
    <xf numFmtId="188" fontId="4" fillId="0" borderId="0">
      <alignment horizontal="left" wrapText="1"/>
      <protection/>
    </xf>
    <xf numFmtId="188" fontId="4" fillId="0" borderId="0">
      <alignment horizontal="left" wrapText="1"/>
      <protection/>
    </xf>
    <xf numFmtId="188" fontId="4" fillId="0" borderId="0">
      <alignment horizontal="left" wrapText="1"/>
      <protection/>
    </xf>
    <xf numFmtId="188" fontId="4" fillId="0" borderId="0">
      <alignment horizontal="left" wrapText="1"/>
      <protection/>
    </xf>
    <xf numFmtId="188" fontId="4" fillId="0" borderId="0">
      <alignment horizontal="left" wrapText="1"/>
      <protection/>
    </xf>
    <xf numFmtId="188" fontId="4" fillId="0" borderId="0">
      <alignment horizontal="left" wrapText="1"/>
      <protection/>
    </xf>
    <xf numFmtId="188" fontId="4" fillId="0" borderId="0">
      <alignment horizontal="left" wrapText="1"/>
      <protection/>
    </xf>
    <xf numFmtId="188" fontId="4" fillId="0" borderId="0">
      <alignment horizontal="left" wrapText="1"/>
      <protection/>
    </xf>
    <xf numFmtId="183" fontId="4" fillId="0" borderId="0">
      <alignment horizontal="left" wrapText="1"/>
      <protection/>
    </xf>
    <xf numFmtId="183" fontId="4" fillId="0" borderId="0">
      <alignment horizontal="left" wrapText="1"/>
      <protection/>
    </xf>
    <xf numFmtId="183" fontId="4" fillId="0" borderId="0">
      <alignment horizontal="left" wrapText="1"/>
      <protection/>
    </xf>
    <xf numFmtId="183" fontId="4" fillId="0" borderId="0">
      <alignment horizontal="left" wrapText="1"/>
      <protection/>
    </xf>
    <xf numFmtId="183" fontId="4" fillId="0" borderId="0">
      <alignment horizontal="left" wrapText="1"/>
      <protection/>
    </xf>
    <xf numFmtId="183" fontId="4" fillId="0" borderId="0">
      <alignment horizontal="left" wrapText="1"/>
      <protection/>
    </xf>
    <xf numFmtId="183" fontId="4" fillId="0" borderId="0">
      <alignment horizontal="left" wrapText="1"/>
      <protection/>
    </xf>
    <xf numFmtId="183" fontId="4" fillId="0" borderId="0">
      <alignment horizontal="left" wrapText="1"/>
      <protection/>
    </xf>
    <xf numFmtId="183" fontId="4" fillId="0" borderId="0">
      <alignment horizontal="left" wrapText="1"/>
      <protection/>
    </xf>
    <xf numFmtId="183" fontId="4" fillId="0" borderId="0">
      <alignment horizontal="left" wrapText="1"/>
      <protection/>
    </xf>
    <xf numFmtId="183" fontId="4" fillId="0" borderId="0">
      <alignment horizontal="left" wrapText="1"/>
      <protection/>
    </xf>
    <xf numFmtId="183" fontId="4" fillId="0" borderId="0">
      <alignment horizontal="left" wrapText="1"/>
      <protection/>
    </xf>
    <xf numFmtId="183" fontId="4" fillId="0" borderId="0">
      <alignment horizontal="left" wrapText="1"/>
      <protection/>
    </xf>
    <xf numFmtId="183" fontId="4" fillId="0" borderId="0">
      <alignment horizontal="left" wrapText="1"/>
      <protection/>
    </xf>
    <xf numFmtId="183" fontId="4" fillId="0" borderId="0">
      <alignment horizontal="left" wrapText="1"/>
      <protection/>
    </xf>
    <xf numFmtId="183" fontId="4" fillId="0" borderId="0">
      <alignment horizontal="left" wrapText="1"/>
      <protection/>
    </xf>
    <xf numFmtId="183" fontId="4" fillId="0" borderId="0">
      <alignment horizontal="left" wrapText="1"/>
      <protection/>
    </xf>
    <xf numFmtId="183" fontId="4" fillId="0" borderId="0">
      <alignment horizontal="left" wrapText="1"/>
      <protection/>
    </xf>
    <xf numFmtId="183" fontId="4" fillId="0" borderId="0">
      <alignment horizontal="left" wrapText="1"/>
      <protection/>
    </xf>
    <xf numFmtId="183" fontId="4" fillId="0" borderId="0">
      <alignment horizontal="left" wrapText="1"/>
      <protection/>
    </xf>
    <xf numFmtId="183" fontId="4" fillId="0" borderId="0">
      <alignment horizontal="left" wrapText="1"/>
      <protection/>
    </xf>
    <xf numFmtId="183" fontId="4" fillId="0" borderId="0">
      <alignment horizontal="left" wrapText="1"/>
      <protection/>
    </xf>
    <xf numFmtId="183" fontId="4" fillId="0" borderId="0">
      <alignment horizontal="left" wrapText="1"/>
      <protection/>
    </xf>
    <xf numFmtId="183" fontId="4" fillId="0" borderId="0">
      <alignment horizontal="left" wrapText="1"/>
      <protection/>
    </xf>
    <xf numFmtId="183" fontId="4" fillId="0" borderId="0">
      <alignment horizontal="left" wrapText="1"/>
      <protection/>
    </xf>
    <xf numFmtId="183" fontId="4" fillId="0" borderId="0">
      <alignment horizontal="left" wrapText="1"/>
      <protection/>
    </xf>
    <xf numFmtId="183" fontId="4" fillId="0" borderId="0">
      <alignment horizontal="left" wrapText="1"/>
      <protection/>
    </xf>
    <xf numFmtId="183" fontId="4" fillId="0" borderId="0">
      <alignment horizontal="left" wrapText="1"/>
      <protection/>
    </xf>
    <xf numFmtId="183" fontId="4" fillId="0" borderId="0">
      <alignment horizontal="left" wrapText="1"/>
      <protection/>
    </xf>
    <xf numFmtId="183" fontId="4" fillId="0" borderId="0">
      <alignment horizontal="left" wrapText="1"/>
      <protection/>
    </xf>
    <xf numFmtId="183" fontId="4" fillId="0" borderId="0">
      <alignment horizontal="left" wrapText="1"/>
      <protection/>
    </xf>
    <xf numFmtId="183" fontId="4" fillId="0" borderId="0">
      <alignment horizontal="left" wrapText="1"/>
      <protection/>
    </xf>
    <xf numFmtId="183" fontId="4" fillId="0" borderId="0">
      <alignment horizontal="left" wrapText="1"/>
      <protection/>
    </xf>
    <xf numFmtId="183" fontId="4" fillId="0" borderId="0">
      <alignment horizontal="left" wrapText="1"/>
      <protection/>
    </xf>
    <xf numFmtId="183" fontId="4" fillId="0" borderId="0">
      <alignment horizontal="left" wrapText="1"/>
      <protection/>
    </xf>
    <xf numFmtId="183" fontId="4" fillId="0" borderId="0">
      <alignment horizontal="left" wrapText="1"/>
      <protection/>
    </xf>
    <xf numFmtId="183" fontId="4" fillId="0" borderId="0">
      <alignment horizontal="left" wrapText="1"/>
      <protection/>
    </xf>
    <xf numFmtId="183" fontId="4" fillId="0" borderId="0">
      <alignment horizontal="left" wrapText="1"/>
      <protection/>
    </xf>
    <xf numFmtId="183" fontId="4" fillId="0" borderId="0">
      <alignment horizontal="left" wrapText="1"/>
      <protection/>
    </xf>
    <xf numFmtId="183" fontId="4" fillId="0" borderId="0">
      <alignment horizontal="left" wrapText="1"/>
      <protection/>
    </xf>
    <xf numFmtId="183" fontId="4" fillId="0" borderId="0">
      <alignment horizontal="left" wrapText="1"/>
      <protection/>
    </xf>
    <xf numFmtId="183" fontId="4" fillId="0" borderId="0">
      <alignment horizontal="left" wrapText="1"/>
      <protection/>
    </xf>
    <xf numFmtId="183" fontId="4" fillId="0" borderId="0">
      <alignment horizontal="left" wrapText="1"/>
      <protection/>
    </xf>
    <xf numFmtId="0" fontId="5" fillId="0" borderId="0">
      <alignment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197" fontId="9" fillId="0" borderId="0" applyFill="0" applyBorder="0" applyAlignment="0">
      <protection/>
    </xf>
    <xf numFmtId="41" fontId="4" fillId="20" borderId="0">
      <alignment/>
      <protection/>
    </xf>
    <xf numFmtId="0" fontId="10" fillId="21" borderId="1" applyNumberFormat="0" applyAlignment="0" applyProtection="0"/>
    <xf numFmtId="41" fontId="4" fillId="22" borderId="0">
      <alignment/>
      <protection/>
    </xf>
    <xf numFmtId="4" fontId="1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212" fontId="16" fillId="0" borderId="0">
      <alignment/>
      <protection locked="0"/>
    </xf>
    <xf numFmtId="0" fontId="14" fillId="0" borderId="0">
      <alignment/>
      <protection/>
    </xf>
    <xf numFmtId="0" fontId="17" fillId="0" borderId="0" applyNumberFormat="0" applyAlignment="0">
      <protection/>
    </xf>
    <xf numFmtId="0" fontId="18" fillId="0" borderId="0" applyNumberFormat="0" applyAlignment="0">
      <protection/>
    </xf>
    <xf numFmtId="0" fontId="13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8" fontId="11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4" fillId="0" borderId="0">
      <alignment/>
      <protection/>
    </xf>
    <xf numFmtId="0" fontId="20" fillId="0" borderId="0" applyNumberFormat="0" applyFill="0" applyBorder="0" applyAlignment="0" applyProtection="0"/>
    <xf numFmtId="2" fontId="12" fillId="0" borderId="0" applyFont="0" applyFill="0" applyBorder="0" applyAlignment="0" applyProtection="0"/>
    <xf numFmtId="0" fontId="13" fillId="0" borderId="0">
      <alignment/>
      <protection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38" fontId="23" fillId="22" borderId="0" applyNumberFormat="0" applyBorder="0" applyAlignment="0" applyProtection="0"/>
    <xf numFmtId="38" fontId="23" fillId="22" borderId="0" applyNumberFormat="0" applyBorder="0" applyAlignment="0" applyProtection="0"/>
    <xf numFmtId="38" fontId="23" fillId="22" borderId="0" applyNumberFormat="0" applyBorder="0" applyAlignment="0" applyProtection="0"/>
    <xf numFmtId="38" fontId="23" fillId="22" borderId="0" applyNumberFormat="0" applyBorder="0" applyAlignment="0" applyProtection="0"/>
    <xf numFmtId="38" fontId="23" fillId="22" borderId="0" applyNumberFormat="0" applyBorder="0" applyAlignment="0" applyProtection="0"/>
    <xf numFmtId="0" fontId="24" fillId="0" borderId="2" applyNumberFormat="0" applyAlignment="0" applyProtection="0"/>
    <xf numFmtId="0" fontId="24" fillId="0" borderId="3">
      <alignment horizontal="left"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38" fontId="26" fillId="0" borderId="0">
      <alignment/>
      <protection/>
    </xf>
    <xf numFmtId="40" fontId="26" fillId="0" borderId="0">
      <alignment/>
      <protection/>
    </xf>
    <xf numFmtId="0" fontId="27" fillId="0" borderId="0" applyNumberFormat="0" applyFill="0" applyBorder="0" applyAlignment="0" applyProtection="0"/>
    <xf numFmtId="0" fontId="28" fillId="7" borderId="5" applyNumberFormat="0" applyAlignment="0" applyProtection="0"/>
    <xf numFmtId="10" fontId="23" fillId="20" borderId="6" applyNumberFormat="0" applyBorder="0" applyAlignment="0" applyProtection="0"/>
    <xf numFmtId="10" fontId="23" fillId="20" borderId="6" applyNumberFormat="0" applyBorder="0" applyAlignment="0" applyProtection="0"/>
    <xf numFmtId="10" fontId="23" fillId="20" borderId="6" applyNumberFormat="0" applyBorder="0" applyAlignment="0" applyProtection="0"/>
    <xf numFmtId="10" fontId="23" fillId="20" borderId="6" applyNumberFormat="0" applyBorder="0" applyAlignment="0" applyProtection="0"/>
    <xf numFmtId="10" fontId="23" fillId="20" borderId="6" applyNumberFormat="0" applyBorder="0" applyAlignment="0" applyProtection="0"/>
    <xf numFmtId="41" fontId="29" fillId="23" borderId="7">
      <alignment horizontal="left"/>
      <protection locked="0"/>
    </xf>
    <xf numFmtId="10" fontId="29" fillId="23" borderId="7">
      <alignment horizontal="right"/>
      <protection locked="0"/>
    </xf>
    <xf numFmtId="0" fontId="23" fillId="22" borderId="0">
      <alignment/>
      <protection/>
    </xf>
    <xf numFmtId="3" fontId="30" fillId="0" borderId="0" applyFill="0" applyBorder="0" applyAlignment="0" applyProtection="0"/>
    <xf numFmtId="0" fontId="31" fillId="0" borderId="8" applyNumberFormat="0" applyFill="0" applyAlignment="0" applyProtection="0"/>
    <xf numFmtId="44" fontId="32" fillId="0" borderId="9" applyNumberFormat="0" applyFont="0" applyAlignment="0">
      <protection/>
    </xf>
    <xf numFmtId="44" fontId="32" fillId="0" borderId="9" applyNumberFormat="0" applyFont="0" applyAlignment="0">
      <protection/>
    </xf>
    <xf numFmtId="44" fontId="32" fillId="0" borderId="9" applyNumberFormat="0" applyFont="0" applyAlignment="0">
      <protection/>
    </xf>
    <xf numFmtId="44" fontId="32" fillId="0" borderId="9" applyNumberFormat="0" applyFont="0" applyAlignment="0">
      <protection/>
    </xf>
    <xf numFmtId="44" fontId="32" fillId="0" borderId="10" applyNumberFormat="0" applyFont="0" applyAlignment="0">
      <protection/>
    </xf>
    <xf numFmtId="44" fontId="32" fillId="0" borderId="10" applyNumberFormat="0" applyFont="0" applyAlignment="0">
      <protection/>
    </xf>
    <xf numFmtId="44" fontId="32" fillId="0" borderId="10" applyNumberFormat="0" applyFont="0" applyAlignment="0">
      <protection/>
    </xf>
    <xf numFmtId="44" fontId="32" fillId="0" borderId="10" applyNumberFormat="0" applyFont="0" applyAlignment="0">
      <protection/>
    </xf>
    <xf numFmtId="0" fontId="33" fillId="23" borderId="0" applyNumberFormat="0" applyBorder="0" applyAlignment="0" applyProtection="0"/>
    <xf numFmtId="37" fontId="34" fillId="0" borderId="0">
      <alignment/>
      <protection/>
    </xf>
    <xf numFmtId="187" fontId="0" fillId="0" borderId="0">
      <alignment/>
      <protection/>
    </xf>
    <xf numFmtId="221" fontId="4" fillId="0" borderId="0">
      <alignment/>
      <protection/>
    </xf>
    <xf numFmtId="221" fontId="4" fillId="0" borderId="0">
      <alignment/>
      <protection/>
    </xf>
    <xf numFmtId="221" fontId="4" fillId="0" borderId="0">
      <alignment/>
      <protection/>
    </xf>
    <xf numFmtId="221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188" fontId="4" fillId="0" borderId="0">
      <alignment horizontal="left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4" borderId="11" applyNumberFormat="0" applyFont="0" applyAlignment="0" applyProtection="0"/>
    <xf numFmtId="0" fontId="6" fillId="24" borderId="11" applyNumberFormat="0" applyFont="0" applyAlignment="0" applyProtection="0"/>
    <xf numFmtId="0" fontId="6" fillId="24" borderId="11" applyNumberFormat="0" applyFont="0" applyAlignment="0" applyProtection="0"/>
    <xf numFmtId="0" fontId="6" fillId="24" borderId="11" applyNumberFormat="0" applyFont="0" applyAlignment="0" applyProtection="0"/>
    <xf numFmtId="0" fontId="6" fillId="24" borderId="11" applyNumberFormat="0" applyFont="0" applyAlignment="0" applyProtection="0"/>
    <xf numFmtId="0" fontId="6" fillId="24" borderId="11" applyNumberFormat="0" applyFont="0" applyAlignment="0" applyProtection="0"/>
    <xf numFmtId="0" fontId="6" fillId="24" borderId="11" applyNumberFormat="0" applyFont="0" applyAlignment="0" applyProtection="0"/>
    <xf numFmtId="0" fontId="6" fillId="24" borderId="11" applyNumberFormat="0" applyFont="0" applyAlignment="0" applyProtection="0"/>
    <xf numFmtId="0" fontId="6" fillId="24" borderId="11" applyNumberFormat="0" applyFont="0" applyAlignment="0" applyProtection="0"/>
    <xf numFmtId="0" fontId="6" fillId="24" borderId="11" applyNumberFormat="0" applyFont="0" applyAlignment="0" applyProtection="0"/>
    <xf numFmtId="0" fontId="6" fillId="24" borderId="11" applyNumberFormat="0" applyFont="0" applyAlignment="0" applyProtection="0"/>
    <xf numFmtId="0" fontId="36" fillId="22" borderId="12" applyNumberFormat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9" fontId="1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25" borderId="7">
      <alignment/>
      <protection/>
    </xf>
    <xf numFmtId="0" fontId="35" fillId="0" borderId="0" applyNumberFormat="0" applyFont="0" applyFill="0" applyBorder="0" applyAlignment="0" applyProtection="0"/>
    <xf numFmtId="15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0" fontId="37" fillId="0" borderId="13">
      <alignment horizontal="center"/>
      <protection/>
    </xf>
    <xf numFmtId="3" fontId="35" fillId="0" borderId="0" applyFont="0" applyFill="0" applyBorder="0" applyAlignment="0" applyProtection="0"/>
    <xf numFmtId="0" fontId="35" fillId="26" borderId="0" applyNumberFormat="0" applyFont="0" applyBorder="0" applyAlignment="0" applyProtection="0"/>
    <xf numFmtId="0" fontId="14" fillId="0" borderId="0">
      <alignment/>
      <protection/>
    </xf>
    <xf numFmtId="3" fontId="38" fillId="0" borderId="0" applyFill="0" applyBorder="0" applyAlignment="0" applyProtection="0"/>
    <xf numFmtId="0" fontId="39" fillId="0" borderId="0">
      <alignment/>
      <protection/>
    </xf>
    <xf numFmtId="3" fontId="38" fillId="0" borderId="0" applyFill="0" applyBorder="0" applyAlignment="0" applyProtection="0"/>
    <xf numFmtId="42" fontId="4" fillId="20" borderId="0">
      <alignment/>
      <protection/>
    </xf>
    <xf numFmtId="42" fontId="4" fillId="20" borderId="14">
      <alignment vertical="center"/>
      <protection/>
    </xf>
    <xf numFmtId="0" fontId="32" fillId="20" borderId="15" applyNumberFormat="0">
      <alignment horizontal="center" vertical="center" wrapText="1"/>
      <protection/>
    </xf>
    <xf numFmtId="10" fontId="4" fillId="20" borderId="0">
      <alignment/>
      <protection/>
    </xf>
    <xf numFmtId="213" fontId="4" fillId="20" borderId="0">
      <alignment/>
      <protection/>
    </xf>
    <xf numFmtId="42" fontId="4" fillId="20" borderId="0">
      <alignment/>
      <protection/>
    </xf>
    <xf numFmtId="174" fontId="26" fillId="0" borderId="0" applyBorder="0" applyAlignment="0">
      <protection/>
    </xf>
    <xf numFmtId="42" fontId="4" fillId="20" borderId="16">
      <alignment horizontal="left"/>
      <protection/>
    </xf>
    <xf numFmtId="213" fontId="40" fillId="20" borderId="16">
      <alignment horizontal="left"/>
      <protection/>
    </xf>
    <xf numFmtId="174" fontId="26" fillId="0" borderId="0" applyBorder="0" applyAlignment="0">
      <protection/>
    </xf>
    <xf numFmtId="14" fontId="0" fillId="0" borderId="0" applyNumberFormat="0" applyFill="0" applyBorder="0" applyAlignment="0" applyProtection="0"/>
    <xf numFmtId="190" fontId="4" fillId="0" borderId="0" applyFont="0" applyFill="0" applyAlignment="0">
      <protection/>
    </xf>
    <xf numFmtId="4" fontId="41" fillId="23" borderId="12" applyNumberFormat="0" applyProtection="0">
      <alignment vertical="center"/>
    </xf>
    <xf numFmtId="4" fontId="41" fillId="23" borderId="12" applyNumberFormat="0" applyProtection="0">
      <alignment horizontal="left" vertical="center" indent="1"/>
    </xf>
    <xf numFmtId="0" fontId="4" fillId="2" borderId="12" applyNumberFormat="0" applyProtection="0">
      <alignment horizontal="left" vertical="center" indent="1"/>
    </xf>
    <xf numFmtId="4" fontId="42" fillId="27" borderId="12" applyNumberFormat="0" applyProtection="0">
      <alignment horizontal="left" vertical="center" indent="1"/>
    </xf>
    <xf numFmtId="4" fontId="41" fillId="28" borderId="17" applyNumberFormat="0" applyProtection="0">
      <alignment horizontal="left" vertical="center" indent="1"/>
    </xf>
    <xf numFmtId="4" fontId="41" fillId="28" borderId="12" applyNumberFormat="0" applyProtection="0">
      <alignment horizontal="left" vertical="center" indent="1"/>
    </xf>
    <xf numFmtId="4" fontId="41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4" fontId="41" fillId="28" borderId="12" applyNumberFormat="0" applyProtection="0">
      <alignment horizontal="right" vertical="center"/>
    </xf>
    <xf numFmtId="0" fontId="4" fillId="2" borderId="12" applyNumberFormat="0" applyProtection="0">
      <alignment horizontal="left" vertical="center" indent="1"/>
    </xf>
    <xf numFmtId="0" fontId="4" fillId="2" borderId="12" applyNumberFormat="0" applyProtection="0">
      <alignment horizontal="left" vertical="center" indent="1"/>
    </xf>
    <xf numFmtId="0" fontId="43" fillId="0" borderId="0">
      <alignment/>
      <protection/>
    </xf>
    <xf numFmtId="39" fontId="4" fillId="30" borderId="0">
      <alignment/>
      <protection/>
    </xf>
    <xf numFmtId="38" fontId="23" fillId="0" borderId="18">
      <alignment/>
      <protection/>
    </xf>
    <xf numFmtId="38" fontId="23" fillId="0" borderId="18">
      <alignment/>
      <protection/>
    </xf>
    <xf numFmtId="38" fontId="23" fillId="0" borderId="18">
      <alignment/>
      <protection/>
    </xf>
    <xf numFmtId="38" fontId="23" fillId="0" borderId="18">
      <alignment/>
      <protection/>
    </xf>
    <xf numFmtId="38" fontId="23" fillId="0" borderId="18">
      <alignment/>
      <protection/>
    </xf>
    <xf numFmtId="38" fontId="26" fillId="0" borderId="16">
      <alignment/>
      <protection/>
    </xf>
    <xf numFmtId="39" fontId="0" fillId="31" borderId="0">
      <alignment/>
      <protection/>
    </xf>
    <xf numFmtId="167" fontId="4" fillId="0" borderId="0">
      <alignment horizontal="left" wrapText="1"/>
      <protection/>
    </xf>
    <xf numFmtId="188" fontId="4" fillId="0" borderId="0">
      <alignment horizontal="left" wrapText="1"/>
      <protection/>
    </xf>
    <xf numFmtId="188" fontId="4" fillId="0" borderId="0">
      <alignment horizontal="left" wrapText="1"/>
      <protection/>
    </xf>
    <xf numFmtId="188" fontId="4" fillId="0" borderId="0">
      <alignment horizontal="left" wrapText="1"/>
      <protection/>
    </xf>
    <xf numFmtId="188" fontId="4" fillId="0" borderId="0">
      <alignment horizontal="left" wrapText="1"/>
      <protection/>
    </xf>
    <xf numFmtId="40" fontId="44" fillId="0" borderId="0" applyBorder="0">
      <alignment horizontal="right"/>
      <protection/>
    </xf>
    <xf numFmtId="41" fontId="45" fillId="20" borderId="0">
      <alignment horizontal="left"/>
      <protection/>
    </xf>
    <xf numFmtId="0" fontId="46" fillId="0" borderId="0" applyNumberFormat="0" applyFill="0" applyBorder="0" applyAlignment="0" applyProtection="0"/>
    <xf numFmtId="214" fontId="47" fillId="20" borderId="0">
      <alignment horizontal="left" vertical="center"/>
      <protection/>
    </xf>
    <xf numFmtId="0" fontId="32" fillId="20" borderId="0">
      <alignment horizontal="left" wrapText="1"/>
      <protection/>
    </xf>
    <xf numFmtId="0" fontId="48" fillId="0" borderId="0">
      <alignment horizontal="left" vertical="center"/>
      <protection/>
    </xf>
    <xf numFmtId="0" fontId="12" fillId="0" borderId="19" applyNumberFormat="0" applyFont="0" applyFill="0" applyAlignment="0" applyProtection="0"/>
    <xf numFmtId="0" fontId="14" fillId="0" borderId="20">
      <alignment/>
      <protection/>
    </xf>
    <xf numFmtId="0" fontId="49" fillId="0" borderId="0" applyNumberFormat="0" applyFill="0" applyBorder="0" applyAlignment="0" applyProtection="0"/>
  </cellStyleXfs>
  <cellXfs count="437">
    <xf numFmtId="0" fontId="0" fillId="0" borderId="0" xfId="0" applyNumberFormat="1" applyAlignment="1">
      <alignment/>
    </xf>
    <xf numFmtId="185" fontId="4" fillId="0" borderId="0" xfId="294" applyNumberFormat="1" applyFont="1" applyFill="1" applyBorder="1" applyAlignment="1">
      <alignment/>
    </xf>
    <xf numFmtId="0" fontId="4" fillId="0" borderId="0" xfId="381" applyFill="1" applyBorder="1" applyAlignment="1">
      <alignment/>
      <protection/>
    </xf>
    <xf numFmtId="0" fontId="4" fillId="0" borderId="0" xfId="381" applyFill="1">
      <alignment/>
      <protection/>
    </xf>
    <xf numFmtId="0" fontId="50" fillId="0" borderId="0" xfId="0" applyNumberFormat="1" applyFont="1" applyFill="1" applyAlignment="1">
      <alignment horizontal="right"/>
    </xf>
    <xf numFmtId="0" fontId="51" fillId="0" borderId="0" xfId="0" applyNumberFormat="1" applyFont="1" applyFill="1" applyAlignment="1">
      <alignment horizontal="right"/>
    </xf>
    <xf numFmtId="0" fontId="4" fillId="0" borderId="0" xfId="381" applyFill="1" applyAlignment="1">
      <alignment horizontal="center"/>
      <protection/>
    </xf>
    <xf numFmtId="0" fontId="51" fillId="0" borderId="0" xfId="0" applyNumberFormat="1" applyFont="1" applyFill="1" applyBorder="1" applyAlignment="1">
      <alignment horizontal="right"/>
    </xf>
    <xf numFmtId="0" fontId="52" fillId="0" borderId="0" xfId="381" applyFont="1" applyFill="1" applyAlignment="1">
      <alignment horizontal="left"/>
      <protection/>
    </xf>
    <xf numFmtId="0" fontId="4" fillId="0" borderId="0" xfId="381" applyFill="1" applyAlignment="1">
      <alignment horizontal="right"/>
      <protection/>
    </xf>
    <xf numFmtId="0" fontId="4" fillId="0" borderId="0" xfId="381" applyFill="1" applyAlignment="1" quotePrefix="1">
      <alignment horizontal="left"/>
      <protection/>
    </xf>
    <xf numFmtId="0" fontId="32" fillId="0" borderId="15" xfId="381" applyFont="1" applyFill="1" applyBorder="1" applyAlignment="1">
      <alignment horizontal="center"/>
      <protection/>
    </xf>
    <xf numFmtId="174" fontId="32" fillId="0" borderId="0" xfId="278" applyNumberFormat="1" applyFont="1" applyFill="1" applyAlignment="1">
      <alignment horizontal="center"/>
    </xf>
    <xf numFmtId="0" fontId="4" fillId="0" borderId="0" xfId="381" applyFill="1" applyAlignment="1">
      <alignment horizontal="left"/>
      <protection/>
    </xf>
    <xf numFmtId="0" fontId="4" fillId="0" borderId="0" xfId="381" applyFont="1" applyFill="1" applyAlignment="1">
      <alignment horizontal="center"/>
      <protection/>
    </xf>
    <xf numFmtId="175" fontId="4" fillId="0" borderId="0" xfId="306" applyNumberFormat="1" applyFont="1" applyFill="1" applyAlignment="1">
      <alignment/>
    </xf>
    <xf numFmtId="0" fontId="4" fillId="0" borderId="0" xfId="381" applyFont="1" applyFill="1" applyAlignment="1">
      <alignment horizontal="right"/>
      <protection/>
    </xf>
    <xf numFmtId="174" fontId="4" fillId="0" borderId="0" xfId="278" applyNumberFormat="1" applyFont="1" applyFill="1" applyAlignment="1">
      <alignment/>
    </xf>
    <xf numFmtId="41" fontId="4" fillId="0" borderId="0" xfId="381" applyNumberFormat="1" applyFill="1">
      <alignment/>
      <protection/>
    </xf>
    <xf numFmtId="174" fontId="4" fillId="0" borderId="0" xfId="278" applyNumberFormat="1" applyFont="1" applyFill="1" applyAlignment="1">
      <alignment horizontal="right"/>
    </xf>
    <xf numFmtId="174" fontId="4" fillId="0" borderId="15" xfId="278" applyNumberFormat="1" applyFont="1" applyFill="1" applyBorder="1" applyAlignment="1">
      <alignment horizontal="right"/>
    </xf>
    <xf numFmtId="175" fontId="4" fillId="0" borderId="0" xfId="306" applyNumberFormat="1" applyFont="1" applyFill="1" applyAlignment="1">
      <alignment horizontal="right"/>
    </xf>
    <xf numFmtId="174" fontId="4" fillId="0" borderId="0" xfId="278" applyNumberFormat="1" applyFont="1" applyFill="1" applyAlignment="1">
      <alignment horizontal="center"/>
    </xf>
    <xf numFmtId="10" fontId="4" fillId="0" borderId="0" xfId="381" applyNumberFormat="1" applyFont="1" applyFill="1" applyAlignment="1">
      <alignment horizontal="right"/>
      <protection/>
    </xf>
    <xf numFmtId="43" fontId="4" fillId="0" borderId="0" xfId="381" applyNumberFormat="1" applyFont="1" applyFill="1" applyAlignment="1">
      <alignment horizontal="right"/>
      <protection/>
    </xf>
    <xf numFmtId="168" fontId="4" fillId="0" borderId="0" xfId="278" applyNumberFormat="1" applyFont="1" applyFill="1" applyAlignment="1">
      <alignment horizontal="center"/>
    </xf>
    <xf numFmtId="0" fontId="4" fillId="0" borderId="15" xfId="381" applyFont="1" applyFill="1" applyBorder="1" applyAlignment="1">
      <alignment horizontal="center"/>
      <protection/>
    </xf>
    <xf numFmtId="0" fontId="4" fillId="0" borderId="0" xfId="381" applyFont="1" applyFill="1">
      <alignment/>
      <protection/>
    </xf>
    <xf numFmtId="174" fontId="4" fillId="0" borderId="15" xfId="278" applyNumberFormat="1" applyFont="1" applyFill="1" applyBorder="1" applyAlignment="1">
      <alignment horizontal="center"/>
    </xf>
    <xf numFmtId="0" fontId="32" fillId="0" borderId="0" xfId="381" applyFont="1" applyFill="1" applyBorder="1">
      <alignment/>
      <protection/>
    </xf>
    <xf numFmtId="0" fontId="4" fillId="0" borderId="0" xfId="381" applyFill="1" applyBorder="1">
      <alignment/>
      <protection/>
    </xf>
    <xf numFmtId="185" fontId="4" fillId="0" borderId="0" xfId="306" applyNumberFormat="1" applyFont="1" applyFill="1" applyAlignment="1">
      <alignment/>
    </xf>
    <xf numFmtId="209" fontId="4" fillId="0" borderId="0" xfId="265" applyNumberFormat="1" applyFont="1" applyFill="1" applyBorder="1" applyAlignment="1">
      <alignment/>
    </xf>
    <xf numFmtId="175" fontId="4" fillId="0" borderId="0" xfId="381" applyNumberFormat="1" applyFill="1" applyBorder="1" applyAlignment="1">
      <alignment horizontal="center"/>
      <protection/>
    </xf>
    <xf numFmtId="0" fontId="4" fillId="0" borderId="0" xfId="381" applyFill="1" applyBorder="1" applyAlignment="1">
      <alignment horizontal="center"/>
      <protection/>
    </xf>
    <xf numFmtId="175" fontId="4" fillId="0" borderId="0" xfId="381" applyNumberFormat="1" applyFill="1">
      <alignment/>
      <protection/>
    </xf>
    <xf numFmtId="174" fontId="4" fillId="0" borderId="0" xfId="278" applyNumberFormat="1" applyFont="1" applyFill="1" applyBorder="1" applyAlignment="1">
      <alignment/>
    </xf>
    <xf numFmtId="0" fontId="4" fillId="0" borderId="0" xfId="381" applyFont="1" applyFill="1" applyBorder="1">
      <alignment/>
      <protection/>
    </xf>
    <xf numFmtId="174" fontId="0" fillId="0" borderId="0" xfId="0" applyNumberFormat="1" applyAlignment="1">
      <alignment/>
    </xf>
    <xf numFmtId="41" fontId="4" fillId="0" borderId="0" xfId="278" applyNumberFormat="1" applyFont="1" applyFill="1" applyBorder="1" applyAlignment="1">
      <alignment/>
    </xf>
    <xf numFmtId="0" fontId="4" fillId="0" borderId="0" xfId="381" applyFont="1" applyFill="1" applyBorder="1" applyAlignment="1">
      <alignment horizontal="left" indent="1"/>
      <protection/>
    </xf>
    <xf numFmtId="0" fontId="4" fillId="0" borderId="0" xfId="381" applyFill="1" applyAlignment="1">
      <alignment horizontal="center" vertical="top"/>
      <protection/>
    </xf>
    <xf numFmtId="0" fontId="4" fillId="0" borderId="0" xfId="381" applyFill="1" applyBorder="1" applyAlignment="1">
      <alignment vertical="top"/>
      <protection/>
    </xf>
    <xf numFmtId="174" fontId="4" fillId="0" borderId="0" xfId="278" applyNumberFormat="1" applyFont="1" applyFill="1" applyAlignment="1">
      <alignment vertical="top"/>
    </xf>
    <xf numFmtId="185" fontId="4" fillId="0" borderId="0" xfId="306" applyNumberFormat="1" applyFont="1" applyFill="1" applyAlignment="1">
      <alignment vertical="top"/>
    </xf>
    <xf numFmtId="0" fontId="4" fillId="0" borderId="0" xfId="381" applyFont="1" applyFill="1" applyAlignment="1">
      <alignment vertical="top"/>
      <protection/>
    </xf>
    <xf numFmtId="0" fontId="4" fillId="0" borderId="0" xfId="381" applyFill="1" applyAlignment="1">
      <alignment vertical="top"/>
      <protection/>
    </xf>
    <xf numFmtId="0" fontId="4" fillId="0" borderId="0" xfId="381" applyFont="1" applyFill="1" applyBorder="1" applyAlignment="1" quotePrefix="1">
      <alignment horizontal="left"/>
      <protection/>
    </xf>
    <xf numFmtId="174" fontId="4" fillId="0" borderId="0" xfId="381" applyNumberFormat="1" applyFill="1">
      <alignment/>
      <protection/>
    </xf>
    <xf numFmtId="0" fontId="4" fillId="0" borderId="0" xfId="381" applyFill="1" applyAlignment="1" quotePrefix="1">
      <alignment horizontal="center"/>
      <protection/>
    </xf>
    <xf numFmtId="185" fontId="4" fillId="0" borderId="0" xfId="306" applyNumberFormat="1" applyFont="1" applyFill="1" applyBorder="1" applyAlignment="1">
      <alignment/>
    </xf>
    <xf numFmtId="188" fontId="4" fillId="0" borderId="0" xfId="0" applyFont="1" applyFill="1" applyAlignment="1">
      <alignment horizontal="left" wrapText="1"/>
    </xf>
    <xf numFmtId="174" fontId="4" fillId="0" borderId="15" xfId="278" applyNumberFormat="1" applyFont="1" applyFill="1" applyBorder="1" applyAlignment="1">
      <alignment/>
    </xf>
    <xf numFmtId="185" fontId="4" fillId="0" borderId="15" xfId="306" applyNumberFormat="1" applyFont="1" applyFill="1" applyBorder="1" applyAlignment="1">
      <alignment/>
    </xf>
    <xf numFmtId="0" fontId="4" fillId="0" borderId="15" xfId="381" applyFont="1" applyFill="1" applyBorder="1">
      <alignment/>
      <protection/>
    </xf>
    <xf numFmtId="39" fontId="4" fillId="0" borderId="0" xfId="381" applyNumberFormat="1" applyFill="1">
      <alignment/>
      <protection/>
    </xf>
    <xf numFmtId="185" fontId="4" fillId="0" borderId="21" xfId="306" applyNumberFormat="1" applyFont="1" applyFill="1" applyBorder="1" applyAlignment="1">
      <alignment/>
    </xf>
    <xf numFmtId="184" fontId="4" fillId="0" borderId="15" xfId="278" applyNumberFormat="1" applyFont="1" applyFill="1" applyBorder="1" applyAlignment="1">
      <alignment/>
    </xf>
    <xf numFmtId="184" fontId="4" fillId="0" borderId="0" xfId="278" applyNumberFormat="1" applyFont="1" applyFill="1" applyBorder="1" applyAlignment="1">
      <alignment/>
    </xf>
    <xf numFmtId="186" fontId="0" fillId="0" borderId="0" xfId="0" applyNumberFormat="1" applyAlignment="1">
      <alignment/>
    </xf>
    <xf numFmtId="3" fontId="0" fillId="0" borderId="0" xfId="265" applyNumberFormat="1" applyFont="1" applyAlignment="1">
      <alignment/>
    </xf>
    <xf numFmtId="174" fontId="4" fillId="0" borderId="0" xfId="265" applyNumberFormat="1" applyFont="1" applyFill="1" applyBorder="1" applyAlignment="1">
      <alignment/>
    </xf>
    <xf numFmtId="182" fontId="53" fillId="0" borderId="0" xfId="0" applyNumberFormat="1" applyFont="1" applyFill="1" applyAlignment="1">
      <alignment horizontal="right"/>
    </xf>
    <xf numFmtId="0" fontId="4" fillId="0" borderId="0" xfId="381" applyFont="1" applyFill="1" applyAlignment="1">
      <alignment horizontal="centerContinuous"/>
      <protection/>
    </xf>
    <xf numFmtId="182" fontId="53" fillId="0" borderId="0" xfId="0" applyNumberFormat="1" applyFont="1" applyFill="1" applyBorder="1" applyAlignment="1">
      <alignment horizontal="right"/>
    </xf>
    <xf numFmtId="182" fontId="4" fillId="0" borderId="0" xfId="278" applyNumberFormat="1" applyFont="1" applyFill="1" applyAlignment="1">
      <alignment/>
    </xf>
    <xf numFmtId="188" fontId="53" fillId="0" borderId="0" xfId="0" applyFont="1" applyFill="1" applyAlignment="1">
      <alignment horizontal="right"/>
    </xf>
    <xf numFmtId="188" fontId="53" fillId="0" borderId="0" xfId="0" applyFont="1" applyFill="1" applyBorder="1" applyAlignment="1">
      <alignment horizontal="right"/>
    </xf>
    <xf numFmtId="182" fontId="4" fillId="0" borderId="0" xfId="381" applyNumberFormat="1" applyFont="1" applyFill="1">
      <alignment/>
      <protection/>
    </xf>
    <xf numFmtId="188" fontId="4" fillId="0" borderId="0" xfId="0" applyFont="1" applyFill="1" applyAlignment="1" quotePrefix="1">
      <alignment horizontal="left"/>
    </xf>
    <xf numFmtId="182" fontId="54" fillId="0" borderId="0" xfId="0" applyNumberFormat="1" applyFont="1" applyFill="1" applyAlignment="1">
      <alignment horizontal="centerContinuous"/>
    </xf>
    <xf numFmtId="188" fontId="4" fillId="0" borderId="0" xfId="0" applyFont="1" applyFill="1" applyBorder="1" applyAlignment="1">
      <alignment horizontal="centerContinuous"/>
    </xf>
    <xf numFmtId="185" fontId="4" fillId="0" borderId="0" xfId="294" applyNumberFormat="1" applyFont="1" applyFill="1" applyAlignment="1">
      <alignment/>
    </xf>
    <xf numFmtId="188" fontId="4" fillId="0" borderId="0" xfId="0" applyFont="1" applyFill="1" applyAlignment="1">
      <alignment horizontal="left"/>
    </xf>
    <xf numFmtId="188" fontId="4" fillId="0" borderId="0" xfId="0" applyFont="1" applyFill="1" applyAlignment="1">
      <alignment wrapText="1"/>
    </xf>
    <xf numFmtId="188" fontId="55" fillId="0" borderId="0" xfId="0" applyFont="1" applyFill="1" applyAlignment="1">
      <alignment horizontal="left"/>
    </xf>
    <xf numFmtId="174" fontId="4" fillId="0" borderId="0" xfId="278" applyNumberFormat="1" applyFill="1" applyAlignment="1">
      <alignment/>
    </xf>
    <xf numFmtId="0" fontId="51" fillId="0" borderId="0" xfId="0" applyNumberFormat="1" applyFont="1" applyFill="1" applyAlignment="1">
      <alignment horizontal="left" indent="1"/>
    </xf>
    <xf numFmtId="41" fontId="4" fillId="0" borderId="0" xfId="265" applyNumberFormat="1" applyFont="1" applyFill="1" applyBorder="1" applyAlignment="1">
      <alignment/>
    </xf>
    <xf numFmtId="4" fontId="4" fillId="0" borderId="0" xfId="265" applyFont="1" applyFill="1" applyAlignment="1">
      <alignment/>
    </xf>
    <xf numFmtId="0" fontId="4" fillId="0" borderId="0" xfId="378">
      <alignment/>
      <protection/>
    </xf>
    <xf numFmtId="0" fontId="4" fillId="0" borderId="0" xfId="378" applyBorder="1">
      <alignment/>
      <protection/>
    </xf>
    <xf numFmtId="41" fontId="4" fillId="0" borderId="0" xfId="265" applyNumberFormat="1" applyFont="1" applyAlignment="1">
      <alignment/>
    </xf>
    <xf numFmtId="0" fontId="52" fillId="0" borderId="0" xfId="378" applyFont="1" applyAlignment="1">
      <alignment horizontal="left"/>
      <protection/>
    </xf>
    <xf numFmtId="0" fontId="4" fillId="0" borderId="0" xfId="378" applyAlignment="1">
      <alignment horizontal="center"/>
      <protection/>
    </xf>
    <xf numFmtId="0" fontId="4" fillId="0" borderId="0" xfId="378" applyBorder="1" applyAlignment="1">
      <alignment horizontal="center"/>
      <protection/>
    </xf>
    <xf numFmtId="0" fontId="32" fillId="0" borderId="0" xfId="378" applyFont="1">
      <alignment/>
      <protection/>
    </xf>
    <xf numFmtId="0" fontId="4" fillId="0" borderId="15" xfId="378" applyBorder="1" applyAlignment="1" quotePrefix="1">
      <alignment horizontal="center"/>
      <protection/>
    </xf>
    <xf numFmtId="0" fontId="4" fillId="0" borderId="15" xfId="378" applyBorder="1" applyAlignment="1">
      <alignment horizontal="center"/>
      <protection/>
    </xf>
    <xf numFmtId="0" fontId="4" fillId="0" borderId="0" xfId="378" applyBorder="1" applyAlignment="1" quotePrefix="1">
      <alignment horizontal="center"/>
      <protection/>
    </xf>
    <xf numFmtId="0" fontId="41" fillId="0" borderId="0" xfId="378" applyFont="1" applyFill="1" applyBorder="1" applyAlignment="1" applyProtection="1">
      <alignment horizontal="left"/>
      <protection/>
    </xf>
    <xf numFmtId="0" fontId="41" fillId="0" borderId="0" xfId="378" applyFont="1" applyFill="1" applyBorder="1" applyProtection="1">
      <alignment/>
      <protection/>
    </xf>
    <xf numFmtId="42" fontId="4" fillId="0" borderId="0" xfId="303" applyNumberFormat="1" applyAlignment="1">
      <alignment/>
    </xf>
    <xf numFmtId="42" fontId="4" fillId="0" borderId="0" xfId="303" applyNumberFormat="1" applyBorder="1" applyAlignment="1">
      <alignment/>
    </xf>
    <xf numFmtId="41" fontId="4" fillId="0" borderId="0" xfId="275" applyNumberFormat="1" applyAlignment="1">
      <alignment/>
    </xf>
    <xf numFmtId="41" fontId="4" fillId="0" borderId="0" xfId="275" applyNumberFormat="1" applyBorder="1" applyAlignment="1">
      <alignment/>
    </xf>
    <xf numFmtId="188" fontId="4" fillId="0" borderId="0" xfId="0" applyFont="1" applyAlignment="1">
      <alignment horizontal="left" wrapText="1"/>
    </xf>
    <xf numFmtId="41" fontId="0" fillId="0" borderId="16" xfId="0" applyNumberFormat="1" applyBorder="1" applyAlignment="1">
      <alignment horizontal="left" wrapText="1"/>
    </xf>
    <xf numFmtId="41" fontId="4" fillId="0" borderId="16" xfId="378" applyNumberFormat="1" applyBorder="1">
      <alignment/>
      <protection/>
    </xf>
    <xf numFmtId="41" fontId="4" fillId="0" borderId="0" xfId="378" applyNumberFormat="1" applyBorder="1">
      <alignment/>
      <protection/>
    </xf>
    <xf numFmtId="41" fontId="0" fillId="0" borderId="0" xfId="0" applyNumberFormat="1" applyAlignment="1">
      <alignment horizontal="left" wrapText="1"/>
    </xf>
    <xf numFmtId="41" fontId="4" fillId="0" borderId="0" xfId="378" applyNumberFormat="1">
      <alignment/>
      <protection/>
    </xf>
    <xf numFmtId="0" fontId="41" fillId="0" borderId="0" xfId="378" applyFont="1" applyFill="1" applyBorder="1" applyAlignment="1" applyProtection="1" quotePrefix="1">
      <alignment horizontal="left"/>
      <protection/>
    </xf>
    <xf numFmtId="188" fontId="41" fillId="0" borderId="0" xfId="0" applyFont="1" applyFill="1" applyBorder="1" applyAlignment="1" applyProtection="1">
      <alignment horizontal="left"/>
      <protection/>
    </xf>
    <xf numFmtId="188" fontId="41" fillId="0" borderId="0" xfId="0" applyFont="1" applyFill="1" applyBorder="1" applyAlignment="1" applyProtection="1">
      <alignment horizontal="left" wrapText="1"/>
      <protection/>
    </xf>
    <xf numFmtId="0" fontId="41" fillId="0" borderId="0" xfId="378" applyFont="1" applyFill="1" applyBorder="1" applyAlignment="1" applyProtection="1">
      <alignment horizontal="right"/>
      <protection/>
    </xf>
    <xf numFmtId="42" fontId="4" fillId="0" borderId="22" xfId="303" applyNumberFormat="1" applyBorder="1" applyAlignment="1">
      <alignment/>
    </xf>
    <xf numFmtId="188" fontId="4" fillId="0" borderId="0" xfId="0" applyFont="1" applyBorder="1" applyAlignment="1">
      <alignment horizontal="left" wrapText="1"/>
    </xf>
    <xf numFmtId="0" fontId="4" fillId="0" borderId="0" xfId="378" applyAlignment="1">
      <alignment horizontal="left" indent="1"/>
      <protection/>
    </xf>
    <xf numFmtId="41" fontId="4" fillId="0" borderId="0" xfId="0" applyNumberFormat="1" applyFont="1" applyAlignment="1">
      <alignment horizontal="left" wrapText="1"/>
    </xf>
    <xf numFmtId="0" fontId="56" fillId="0" borderId="0" xfId="378" applyFont="1">
      <alignment/>
      <protection/>
    </xf>
    <xf numFmtId="0" fontId="4" fillId="0" borderId="0" xfId="0" applyNumberFormat="1" applyFont="1" applyAlignment="1">
      <alignment horizontal="center"/>
    </xf>
    <xf numFmtId="0" fontId="52" fillId="0" borderId="0" xfId="0" applyNumberFormat="1" applyFont="1" applyAlignment="1">
      <alignment horizontal="left"/>
    </xf>
    <xf numFmtId="0" fontId="4" fillId="0" borderId="0" xfId="0" applyNumberFormat="1" applyFont="1" applyAlignment="1">
      <alignment/>
    </xf>
    <xf numFmtId="37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left" indent="1"/>
    </xf>
    <xf numFmtId="174" fontId="4" fillId="0" borderId="0" xfId="276" applyNumberFormat="1" applyFont="1" applyAlignment="1">
      <alignment/>
    </xf>
    <xf numFmtId="174" fontId="4" fillId="0" borderId="0" xfId="265" applyNumberFormat="1" applyFont="1" applyFill="1" applyAlignment="1">
      <alignment/>
    </xf>
    <xf numFmtId="188" fontId="51" fillId="0" borderId="0" xfId="0" applyFont="1" applyFill="1" applyBorder="1" applyAlignment="1">
      <alignment horizontal="right"/>
    </xf>
    <xf numFmtId="0" fontId="4" fillId="0" borderId="0" xfId="0" applyNumberFormat="1" applyFont="1" applyAlignment="1" quotePrefix="1">
      <alignment horizontal="left"/>
    </xf>
    <xf numFmtId="174" fontId="4" fillId="0" borderId="15" xfId="276" applyNumberFormat="1" applyFont="1" applyFill="1" applyBorder="1" applyAlignment="1">
      <alignment/>
    </xf>
    <xf numFmtId="41" fontId="4" fillId="0" borderId="0" xfId="0" applyNumberFormat="1" applyFont="1" applyAlignment="1">
      <alignment/>
    </xf>
    <xf numFmtId="41" fontId="4" fillId="0" borderId="0" xfId="0" applyNumberFormat="1" applyFont="1" applyAlignment="1">
      <alignment horizontal="right"/>
    </xf>
    <xf numFmtId="10" fontId="4" fillId="0" borderId="15" xfId="397" applyNumberFormat="1" applyFont="1" applyFill="1" applyBorder="1" applyAlignment="1">
      <alignment/>
    </xf>
    <xf numFmtId="174" fontId="4" fillId="0" borderId="0" xfId="0" applyNumberFormat="1" applyFont="1" applyAlignment="1">
      <alignment/>
    </xf>
    <xf numFmtId="10" fontId="4" fillId="0" borderId="0" xfId="397" applyNumberFormat="1" applyFont="1" applyAlignment="1">
      <alignment horizontal="left"/>
    </xf>
    <xf numFmtId="174" fontId="4" fillId="0" borderId="15" xfId="0" applyNumberFormat="1" applyFont="1" applyBorder="1" applyAlignment="1">
      <alignment/>
    </xf>
    <xf numFmtId="1" fontId="4" fillId="0" borderId="6" xfId="0" applyNumberFormat="1" applyFont="1" applyBorder="1" applyAlignment="1">
      <alignment horizontal="center" vertical="center"/>
    </xf>
    <xf numFmtId="188" fontId="57" fillId="0" borderId="6" xfId="0" applyFont="1" applyFill="1" applyBorder="1" applyAlignment="1" applyProtection="1">
      <alignment horizontal="center" vertical="center" wrapText="1"/>
      <protection/>
    </xf>
    <xf numFmtId="15" fontId="57" fillId="0" borderId="6" xfId="0" applyNumberFormat="1" applyFont="1" applyFill="1" applyBorder="1" applyAlignment="1" applyProtection="1" quotePrefix="1">
      <alignment horizontal="center" vertical="center" wrapText="1"/>
      <protection/>
    </xf>
    <xf numFmtId="188" fontId="42" fillId="0" borderId="6" xfId="0" applyFont="1" applyFill="1" applyBorder="1" applyAlignment="1">
      <alignment horizontal="center" vertical="center" wrapText="1"/>
    </xf>
    <xf numFmtId="188" fontId="41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41" fillId="0" borderId="0" xfId="0" applyNumberFormat="1" applyFont="1" applyFill="1" applyBorder="1" applyAlignment="1" applyProtection="1">
      <alignment horizontal="left"/>
      <protection/>
    </xf>
    <xf numFmtId="0" fontId="41" fillId="0" borderId="0" xfId="0" applyNumberFormat="1" applyFont="1" applyFill="1" applyBorder="1" applyAlignment="1" applyProtection="1">
      <alignment/>
      <protection/>
    </xf>
    <xf numFmtId="41" fontId="41" fillId="0" borderId="0" xfId="276" applyNumberFormat="1" applyFont="1" applyFill="1" applyBorder="1" applyAlignment="1" applyProtection="1">
      <alignment/>
      <protection/>
    </xf>
    <xf numFmtId="41" fontId="41" fillId="0" borderId="0" xfId="276" applyNumberFormat="1" applyFont="1" applyFill="1" applyBorder="1" applyAlignment="1" applyProtection="1">
      <alignment/>
      <protection/>
    </xf>
    <xf numFmtId="10" fontId="41" fillId="0" borderId="0" xfId="397" applyNumberFormat="1" applyFont="1" applyFill="1" applyBorder="1" applyAlignment="1" applyProtection="1">
      <alignment/>
      <protection/>
    </xf>
    <xf numFmtId="41" fontId="41" fillId="0" borderId="0" xfId="0" applyNumberFormat="1" applyFont="1" applyFill="1" applyBorder="1" applyAlignment="1">
      <alignment/>
    </xf>
    <xf numFmtId="0" fontId="41" fillId="0" borderId="0" xfId="0" applyNumberFormat="1" applyFont="1" applyFill="1" applyBorder="1" applyAlignment="1">
      <alignment/>
    </xf>
    <xf numFmtId="0" fontId="41" fillId="0" borderId="0" xfId="0" applyNumberFormat="1" applyFont="1" applyFill="1" applyBorder="1" applyAlignment="1">
      <alignment horizontal="center" vertical="center" wrapText="1"/>
    </xf>
    <xf numFmtId="41" fontId="41" fillId="0" borderId="0" xfId="265" applyNumberFormat="1" applyFont="1" applyFill="1" applyBorder="1" applyAlignment="1" applyProtection="1">
      <alignment/>
      <protection/>
    </xf>
    <xf numFmtId="10" fontId="41" fillId="0" borderId="0" xfId="397" applyNumberFormat="1" applyFont="1" applyFill="1" applyBorder="1" applyAlignment="1">
      <alignment horizontal="right"/>
    </xf>
    <xf numFmtId="41" fontId="41" fillId="0" borderId="16" xfId="276" applyNumberFormat="1" applyFont="1" applyFill="1" applyBorder="1" applyAlignment="1" applyProtection="1">
      <alignment/>
      <protection/>
    </xf>
    <xf numFmtId="10" fontId="41" fillId="0" borderId="16" xfId="397" applyNumberFormat="1" applyFont="1" applyFill="1" applyBorder="1" applyAlignment="1" applyProtection="1">
      <alignment/>
      <protection/>
    </xf>
    <xf numFmtId="41" fontId="41" fillId="0" borderId="16" xfId="276" applyNumberFormat="1" applyFont="1" applyFill="1" applyBorder="1" applyAlignment="1" applyProtection="1">
      <alignment/>
      <protection/>
    </xf>
    <xf numFmtId="10" fontId="58" fillId="0" borderId="0" xfId="397" applyNumberFormat="1" applyFont="1" applyFill="1" applyBorder="1" applyAlignment="1" applyProtection="1">
      <alignment/>
      <protection/>
    </xf>
    <xf numFmtId="41" fontId="41" fillId="0" borderId="15" xfId="276" applyNumberFormat="1" applyFont="1" applyFill="1" applyBorder="1" applyAlignment="1" applyProtection="1">
      <alignment/>
      <protection/>
    </xf>
    <xf numFmtId="41" fontId="41" fillId="0" borderId="15" xfId="276" applyNumberFormat="1" applyFont="1" applyFill="1" applyBorder="1" applyAlignment="1" applyProtection="1">
      <alignment/>
      <protection/>
    </xf>
    <xf numFmtId="0" fontId="41" fillId="0" borderId="15" xfId="0" applyNumberFormat="1" applyFont="1" applyFill="1" applyBorder="1" applyAlignment="1">
      <alignment/>
    </xf>
    <xf numFmtId="41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right"/>
    </xf>
    <xf numFmtId="0" fontId="32" fillId="0" borderId="0" xfId="0" applyNumberFormat="1" applyFont="1" applyAlignment="1">
      <alignment/>
    </xf>
    <xf numFmtId="0" fontId="32" fillId="0" borderId="0" xfId="0" applyNumberFormat="1" applyFont="1" applyBorder="1" applyAlignment="1">
      <alignment/>
    </xf>
    <xf numFmtId="0" fontId="4" fillId="0" borderId="0" xfId="0" applyNumberFormat="1" applyFont="1" applyAlignment="1">
      <alignment horizontal="left" wrapText="1"/>
    </xf>
    <xf numFmtId="42" fontId="4" fillId="0" borderId="0" xfId="0" applyNumberFormat="1" applyFont="1" applyBorder="1" applyAlignment="1">
      <alignment horizontal="left" wrapText="1"/>
    </xf>
    <xf numFmtId="188" fontId="4" fillId="0" borderId="0" xfId="0" applyFont="1" applyFill="1" applyBorder="1" applyAlignment="1">
      <alignment horizontal="left" wrapText="1"/>
    </xf>
    <xf numFmtId="41" fontId="4" fillId="0" borderId="0" xfId="0" applyNumberFormat="1" applyFont="1" applyFill="1" applyBorder="1" applyAlignment="1">
      <alignment horizontal="left" wrapText="1"/>
    </xf>
    <xf numFmtId="41" fontId="4" fillId="0" borderId="0" xfId="265" applyNumberFormat="1" applyFont="1" applyBorder="1" applyAlignment="1">
      <alignment/>
    </xf>
    <xf numFmtId="41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Alignment="1">
      <alignment horizontal="left" wrapText="1"/>
    </xf>
    <xf numFmtId="188" fontId="4" fillId="0" borderId="0" xfId="0" applyNumberFormat="1" applyFont="1" applyFill="1" applyBorder="1" applyAlignment="1">
      <alignment horizontal="left" wrapText="1"/>
    </xf>
    <xf numFmtId="49" fontId="4" fillId="0" borderId="0" xfId="0" applyNumberFormat="1" applyFont="1" applyAlignment="1">
      <alignment/>
    </xf>
    <xf numFmtId="41" fontId="4" fillId="0" borderId="0" xfId="276" applyNumberFormat="1" applyFont="1" applyAlignment="1">
      <alignment/>
    </xf>
    <xf numFmtId="0" fontId="4" fillId="0" borderId="0" xfId="0" applyNumberFormat="1" applyFont="1" applyAlignment="1">
      <alignment horizontal="left"/>
    </xf>
    <xf numFmtId="41" fontId="4" fillId="0" borderId="0" xfId="276" applyNumberFormat="1" applyFont="1" applyFill="1" applyAlignment="1">
      <alignment/>
    </xf>
    <xf numFmtId="42" fontId="4" fillId="0" borderId="14" xfId="304" applyNumberFormat="1" applyFont="1" applyBorder="1" applyAlignment="1">
      <alignment/>
    </xf>
    <xf numFmtId="0" fontId="24" fillId="0" borderId="0" xfId="0" applyNumberFormat="1" applyFont="1" applyAlignment="1">
      <alignment/>
    </xf>
    <xf numFmtId="188" fontId="52" fillId="0" borderId="0" xfId="0" applyFont="1" applyBorder="1" applyAlignment="1">
      <alignment horizontal="left"/>
    </xf>
    <xf numFmtId="41" fontId="4" fillId="0" borderId="15" xfId="0" applyNumberFormat="1" applyFont="1" applyBorder="1" applyAlignment="1">
      <alignment horizontal="left" wrapText="1"/>
    </xf>
    <xf numFmtId="0" fontId="50" fillId="0" borderId="0" xfId="0" applyNumberFormat="1" applyFont="1" applyFill="1" applyAlignment="1">
      <alignment/>
    </xf>
    <xf numFmtId="0" fontId="51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59" fillId="0" borderId="0" xfId="0" applyNumberFormat="1" applyFont="1" applyFill="1" applyAlignment="1">
      <alignment/>
    </xf>
    <xf numFmtId="0" fontId="50" fillId="0" borderId="0" xfId="0" applyNumberFormat="1" applyFont="1" applyFill="1" applyBorder="1" applyAlignment="1" quotePrefix="1">
      <alignment horizontal="right"/>
    </xf>
    <xf numFmtId="0" fontId="50" fillId="0" borderId="0" xfId="0" applyNumberFormat="1" applyFont="1" applyFill="1" applyAlignment="1" applyProtection="1">
      <alignment horizontal="centerContinuous"/>
      <protection locked="0"/>
    </xf>
    <xf numFmtId="0" fontId="50" fillId="0" borderId="0" xfId="0" applyNumberFormat="1" applyFont="1" applyFill="1" applyAlignment="1">
      <alignment horizontal="centerContinuous"/>
    </xf>
    <xf numFmtId="15" fontId="50" fillId="0" borderId="0" xfId="0" applyNumberFormat="1" applyFont="1" applyFill="1" applyAlignment="1">
      <alignment horizontal="centerContinuous"/>
    </xf>
    <xf numFmtId="18" fontId="50" fillId="0" borderId="0" xfId="0" applyNumberFormat="1" applyFont="1" applyFill="1" applyAlignment="1">
      <alignment horizontal="centerContinuous"/>
    </xf>
    <xf numFmtId="0" fontId="51" fillId="0" borderId="0" xfId="0" applyNumberFormat="1" applyFont="1" applyFill="1" applyAlignment="1">
      <alignment horizontal="center"/>
    </xf>
    <xf numFmtId="0" fontId="50" fillId="0" borderId="0" xfId="0" applyNumberFormat="1" applyFont="1" applyFill="1" applyAlignment="1" applyProtection="1">
      <alignment horizontal="center"/>
      <protection locked="0"/>
    </xf>
    <xf numFmtId="0" fontId="50" fillId="0" borderId="0" xfId="0" applyNumberFormat="1" applyFont="1" applyFill="1" applyAlignment="1">
      <alignment horizontal="center"/>
    </xf>
    <xf numFmtId="0" fontId="50" fillId="0" borderId="15" xfId="0" applyNumberFormat="1" applyFont="1" applyFill="1" applyBorder="1" applyAlignment="1">
      <alignment horizontal="center"/>
    </xf>
    <xf numFmtId="0" fontId="50" fillId="0" borderId="15" xfId="0" applyNumberFormat="1" applyFont="1" applyFill="1" applyBorder="1" applyAlignment="1">
      <alignment/>
    </xf>
    <xf numFmtId="167" fontId="50" fillId="0" borderId="15" xfId="0" applyNumberFormat="1" applyFont="1" applyFill="1" applyBorder="1" applyAlignment="1">
      <alignment horizontal="center"/>
    </xf>
    <xf numFmtId="9" fontId="50" fillId="0" borderId="15" xfId="0" applyNumberFormat="1" applyFont="1" applyFill="1" applyBorder="1" applyAlignment="1">
      <alignment horizontal="center"/>
    </xf>
    <xf numFmtId="167" fontId="51" fillId="0" borderId="0" xfId="0" applyNumberFormat="1" applyFont="1" applyFill="1" applyAlignment="1">
      <alignment/>
    </xf>
    <xf numFmtId="0" fontId="60" fillId="0" borderId="0" xfId="0" applyNumberFormat="1" applyFont="1" applyFill="1" applyAlignment="1">
      <alignment/>
    </xf>
    <xf numFmtId="0" fontId="51" fillId="0" borderId="0" xfId="0" applyNumberFormat="1" applyFont="1" applyFill="1" applyAlignment="1">
      <alignment horizontal="left"/>
    </xf>
    <xf numFmtId="171" fontId="51" fillId="0" borderId="0" xfId="0" applyNumberFormat="1" applyFont="1" applyFill="1" applyAlignment="1">
      <alignment/>
    </xf>
    <xf numFmtId="42" fontId="51" fillId="0" borderId="0" xfId="0" applyNumberFormat="1" applyFont="1" applyFill="1" applyAlignment="1">
      <alignment/>
    </xf>
    <xf numFmtId="41" fontId="51" fillId="0" borderId="0" xfId="0" applyNumberFormat="1" applyFont="1" applyFill="1" applyAlignment="1">
      <alignment/>
    </xf>
    <xf numFmtId="41" fontId="51" fillId="0" borderId="16" xfId="0" applyNumberFormat="1" applyFont="1" applyFill="1" applyBorder="1" applyAlignment="1">
      <alignment/>
    </xf>
    <xf numFmtId="41" fontId="51" fillId="0" borderId="0" xfId="0" applyNumberFormat="1" applyFont="1" applyFill="1" applyBorder="1" applyAlignment="1">
      <alignment/>
    </xf>
    <xf numFmtId="41" fontId="51" fillId="0" borderId="15" xfId="0" applyNumberFormat="1" applyFont="1" applyFill="1" applyBorder="1" applyAlignment="1">
      <alignment/>
    </xf>
    <xf numFmtId="0" fontId="61" fillId="0" borderId="0" xfId="0" applyNumberFormat="1" applyFont="1" applyFill="1" applyBorder="1" applyAlignment="1">
      <alignment horizontal="left"/>
    </xf>
    <xf numFmtId="42" fontId="51" fillId="0" borderId="0" xfId="0" applyNumberFormat="1" applyFont="1" applyFill="1" applyAlignment="1" applyProtection="1">
      <alignment/>
      <protection locked="0"/>
    </xf>
    <xf numFmtId="41" fontId="51" fillId="0" borderId="0" xfId="0" applyNumberFormat="1" applyFont="1" applyFill="1" applyAlignment="1" applyProtection="1">
      <alignment/>
      <protection locked="0"/>
    </xf>
    <xf numFmtId="188" fontId="51" fillId="0" borderId="0" xfId="0" applyFont="1" applyFill="1" applyAlignment="1">
      <alignment horizontal="left"/>
    </xf>
    <xf numFmtId="42" fontId="51" fillId="0" borderId="3" xfId="265" applyNumberFormat="1" applyFont="1" applyFill="1" applyBorder="1" applyAlignment="1">
      <alignment/>
    </xf>
    <xf numFmtId="42" fontId="51" fillId="0" borderId="16" xfId="265" applyNumberFormat="1" applyFont="1" applyFill="1" applyBorder="1" applyAlignment="1">
      <alignment/>
    </xf>
    <xf numFmtId="42" fontId="51" fillId="0" borderId="0" xfId="265" applyNumberFormat="1" applyFont="1" applyFill="1" applyBorder="1" applyAlignment="1">
      <alignment/>
    </xf>
    <xf numFmtId="42" fontId="51" fillId="0" borderId="15" xfId="265" applyNumberFormat="1" applyFont="1" applyFill="1" applyBorder="1" applyAlignment="1">
      <alignment/>
    </xf>
    <xf numFmtId="42" fontId="51" fillId="0" borderId="14" xfId="0" applyNumberFormat="1" applyFont="1" applyFill="1" applyBorder="1" applyAlignment="1">
      <alignment/>
    </xf>
    <xf numFmtId="41" fontId="51" fillId="0" borderId="0" xfId="0" applyNumberFormat="1" applyFont="1" applyFill="1" applyBorder="1" applyAlignment="1" applyProtection="1">
      <alignment/>
      <protection locked="0"/>
    </xf>
    <xf numFmtId="41" fontId="51" fillId="0" borderId="16" xfId="0" applyNumberFormat="1" applyFont="1" applyFill="1" applyBorder="1" applyAlignment="1" applyProtection="1">
      <alignment/>
      <protection locked="0"/>
    </xf>
    <xf numFmtId="41" fontId="51" fillId="0" borderId="0" xfId="0" applyNumberFormat="1" applyFont="1" applyFill="1" applyBorder="1" applyAlignment="1">
      <alignment horizontal="center"/>
    </xf>
    <xf numFmtId="42" fontId="51" fillId="0" borderId="22" xfId="265" applyNumberFormat="1" applyFont="1" applyFill="1" applyBorder="1" applyAlignment="1">
      <alignment/>
    </xf>
    <xf numFmtId="179" fontId="51" fillId="0" borderId="16" xfId="0" applyNumberFormat="1" applyFont="1" applyFill="1" applyBorder="1" applyAlignment="1">
      <alignment/>
    </xf>
    <xf numFmtId="42" fontId="51" fillId="0" borderId="22" xfId="0" applyNumberFormat="1" applyFont="1" applyFill="1" applyBorder="1" applyAlignment="1">
      <alignment/>
    </xf>
    <xf numFmtId="15" fontId="50" fillId="0" borderId="0" xfId="0" applyNumberFormat="1" applyFont="1" applyFill="1" applyAlignment="1">
      <alignment/>
    </xf>
    <xf numFmtId="0" fontId="50" fillId="0" borderId="0" xfId="0" applyNumberFormat="1" applyFont="1" applyFill="1" applyAlignment="1" applyProtection="1">
      <alignment horizontal="left"/>
      <protection locked="0"/>
    </xf>
    <xf numFmtId="42" fontId="50" fillId="0" borderId="0" xfId="0" applyNumberFormat="1" applyFont="1" applyFill="1" applyAlignment="1">
      <alignment/>
    </xf>
    <xf numFmtId="0" fontId="50" fillId="0" borderId="0" xfId="0" applyNumberFormat="1" applyFont="1" applyFill="1" applyAlignment="1" applyProtection="1">
      <alignment/>
      <protection locked="0"/>
    </xf>
    <xf numFmtId="42" fontId="50" fillId="0" borderId="0" xfId="0" applyNumberFormat="1" applyFont="1" applyFill="1" applyAlignment="1" applyProtection="1">
      <alignment horizontal="center"/>
      <protection locked="0"/>
    </xf>
    <xf numFmtId="0" fontId="50" fillId="0" borderId="15" xfId="0" applyNumberFormat="1" applyFont="1" applyFill="1" applyBorder="1" applyAlignment="1" applyProtection="1">
      <alignment horizontal="center"/>
      <protection locked="0"/>
    </xf>
    <xf numFmtId="0" fontId="51" fillId="0" borderId="0" xfId="0" applyNumberFormat="1" applyFont="1" applyFill="1" applyAlignment="1">
      <alignment horizontal="fill"/>
    </xf>
    <xf numFmtId="0" fontId="51" fillId="0" borderId="0" xfId="0" applyNumberFormat="1" applyFont="1" applyFill="1" applyAlignment="1" applyProtection="1">
      <alignment horizontal="fill"/>
      <protection locked="0"/>
    </xf>
    <xf numFmtId="42" fontId="51" fillId="0" borderId="0" xfId="0" applyNumberFormat="1" applyFont="1" applyFill="1" applyBorder="1" applyAlignment="1">
      <alignment/>
    </xf>
    <xf numFmtId="41" fontId="51" fillId="0" borderId="15" xfId="0" applyNumberFormat="1" applyFont="1" applyFill="1" applyBorder="1" applyAlignment="1" applyProtection="1">
      <alignment/>
      <protection locked="0"/>
    </xf>
    <xf numFmtId="0" fontId="50" fillId="0" borderId="0" xfId="0" applyNumberFormat="1" applyFont="1" applyFill="1" applyAlignment="1">
      <alignment horizontal="left"/>
    </xf>
    <xf numFmtId="0" fontId="51" fillId="0" borderId="16" xfId="0" applyNumberFormat="1" applyFont="1" applyFill="1" applyBorder="1" applyAlignment="1">
      <alignment/>
    </xf>
    <xf numFmtId="0" fontId="51" fillId="0" borderId="0" xfId="0" applyNumberFormat="1" applyFont="1" applyFill="1" applyAlignment="1" applyProtection="1">
      <alignment horizontal="left"/>
      <protection locked="0"/>
    </xf>
    <xf numFmtId="42" fontId="62" fillId="0" borderId="0" xfId="294" applyNumberFormat="1" applyFont="1" applyFill="1" applyAlignment="1" applyProtection="1">
      <alignment/>
      <protection locked="0"/>
    </xf>
    <xf numFmtId="42" fontId="62" fillId="0" borderId="16" xfId="294" applyNumberFormat="1" applyFont="1" applyFill="1" applyBorder="1" applyAlignment="1" applyProtection="1">
      <alignment/>
      <protection locked="0"/>
    </xf>
    <xf numFmtId="171" fontId="51" fillId="0" borderId="0" xfId="0" applyNumberFormat="1" applyFont="1" applyFill="1" applyAlignment="1" applyProtection="1">
      <alignment/>
      <protection locked="0"/>
    </xf>
    <xf numFmtId="41" fontId="62" fillId="0" borderId="0" xfId="294" applyNumberFormat="1" applyFont="1" applyFill="1" applyBorder="1" applyAlignment="1" applyProtection="1">
      <alignment/>
      <protection locked="0"/>
    </xf>
    <xf numFmtId="171" fontId="51" fillId="0" borderId="15" xfId="0" applyNumberFormat="1" applyFont="1" applyFill="1" applyBorder="1" applyAlignment="1" applyProtection="1">
      <alignment/>
      <protection locked="0"/>
    </xf>
    <xf numFmtId="42" fontId="51" fillId="0" borderId="16" xfId="294" applyNumberFormat="1" applyFont="1" applyFill="1" applyBorder="1" applyAlignment="1" applyProtection="1">
      <alignment/>
      <protection locked="0"/>
    </xf>
    <xf numFmtId="0" fontId="51" fillId="0" borderId="0" xfId="0" applyNumberFormat="1" applyFont="1" applyFill="1" applyBorder="1" applyAlignment="1">
      <alignment/>
    </xf>
    <xf numFmtId="175" fontId="51" fillId="0" borderId="0" xfId="0" applyNumberFormat="1" applyFont="1" applyFill="1" applyAlignment="1">
      <alignment/>
    </xf>
    <xf numFmtId="174" fontId="51" fillId="0" borderId="0" xfId="0" applyNumberFormat="1" applyFont="1" applyFill="1" applyAlignment="1">
      <alignment/>
    </xf>
    <xf numFmtId="42" fontId="51" fillId="0" borderId="0" xfId="294" applyNumberFormat="1" applyFont="1" applyFill="1" applyBorder="1" applyAlignment="1" applyProtection="1">
      <alignment/>
      <protection locked="0"/>
    </xf>
    <xf numFmtId="9" fontId="51" fillId="0" borderId="0" xfId="0" applyNumberFormat="1" applyFont="1" applyFill="1" applyAlignment="1">
      <alignment/>
    </xf>
    <xf numFmtId="4" fontId="51" fillId="0" borderId="0" xfId="265" applyFont="1" applyFill="1" applyAlignment="1">
      <alignment/>
    </xf>
    <xf numFmtId="0" fontId="51" fillId="0" borderId="0" xfId="0" applyNumberFormat="1" applyFont="1" applyFill="1" applyAlignment="1" quotePrefix="1">
      <alignment horizontal="right"/>
    </xf>
    <xf numFmtId="42" fontId="51" fillId="0" borderId="14" xfId="294" applyNumberFormat="1" applyFont="1" applyFill="1" applyBorder="1" applyAlignment="1" applyProtection="1">
      <alignment/>
      <protection locked="0"/>
    </xf>
    <xf numFmtId="0" fontId="51" fillId="0" borderId="0" xfId="0" applyNumberFormat="1" applyFont="1" applyFill="1" applyAlignment="1">
      <alignment horizontal="centerContinuous"/>
    </xf>
    <xf numFmtId="37" fontId="51" fillId="0" borderId="0" xfId="0" applyNumberFormat="1" applyFont="1" applyFill="1" applyAlignment="1">
      <alignment horizontal="right"/>
    </xf>
    <xf numFmtId="0" fontId="32" fillId="0" borderId="0" xfId="380" applyFont="1" applyFill="1" applyAlignment="1" applyProtection="1">
      <alignment horizontal="left"/>
      <protection locked="0"/>
    </xf>
    <xf numFmtId="0" fontId="4" fillId="0" borderId="0" xfId="380" applyFont="1" applyFill="1" applyProtection="1">
      <alignment/>
      <protection locked="0"/>
    </xf>
    <xf numFmtId="0" fontId="4" fillId="0" borderId="0" xfId="380" applyFont="1" applyFill="1" applyAlignment="1" applyProtection="1">
      <alignment/>
      <protection locked="0"/>
    </xf>
    <xf numFmtId="0" fontId="13" fillId="0" borderId="0" xfId="0" applyNumberFormat="1" applyFont="1" applyFill="1" applyAlignment="1" applyProtection="1">
      <alignment/>
      <protection locked="0"/>
    </xf>
    <xf numFmtId="0" fontId="4" fillId="0" borderId="0" xfId="0" applyNumberFormat="1" applyFont="1" applyFill="1" applyAlignment="1" applyProtection="1">
      <alignment/>
      <protection locked="0"/>
    </xf>
    <xf numFmtId="0" fontId="4" fillId="0" borderId="0" xfId="380" applyFont="1" applyFill="1" applyBorder="1" applyAlignment="1" applyProtection="1">
      <alignment/>
      <protection locked="0"/>
    </xf>
    <xf numFmtId="0" fontId="4" fillId="0" borderId="0" xfId="380" applyFill="1" applyProtection="1">
      <alignment/>
      <protection locked="0"/>
    </xf>
    <xf numFmtId="0" fontId="4" fillId="0" borderId="0" xfId="380" applyFill="1" applyAlignment="1" applyProtection="1">
      <alignment/>
      <protection locked="0"/>
    </xf>
    <xf numFmtId="0" fontId="63" fillId="0" borderId="15" xfId="380" applyFont="1" applyFill="1" applyBorder="1" applyAlignment="1" applyProtection="1">
      <alignment horizontal="centerContinuous"/>
      <protection locked="0"/>
    </xf>
    <xf numFmtId="0" fontId="0" fillId="0" borderId="0" xfId="0" applyNumberFormat="1" applyFill="1" applyAlignment="1" applyProtection="1">
      <alignment/>
      <protection locked="0"/>
    </xf>
    <xf numFmtId="174" fontId="32" fillId="0" borderId="15" xfId="277" applyNumberFormat="1" applyFont="1" applyFill="1" applyBorder="1" applyAlignment="1" applyProtection="1">
      <alignment horizontal="centerContinuous"/>
      <protection locked="0"/>
    </xf>
    <xf numFmtId="0" fontId="0" fillId="0" borderId="15" xfId="0" applyNumberFormat="1" applyFill="1" applyBorder="1" applyAlignment="1" applyProtection="1">
      <alignment horizontal="centerContinuous"/>
      <protection locked="0"/>
    </xf>
    <xf numFmtId="0" fontId="4" fillId="0" borderId="15" xfId="0" applyNumberFormat="1" applyFont="1" applyFill="1" applyBorder="1" applyAlignment="1" applyProtection="1">
      <alignment horizontal="centerContinuous"/>
      <protection locked="0"/>
    </xf>
    <xf numFmtId="0" fontId="4" fillId="0" borderId="15" xfId="380" applyFill="1" applyBorder="1" applyAlignment="1" applyProtection="1">
      <alignment horizontal="centerContinuous"/>
      <protection locked="0"/>
    </xf>
    <xf numFmtId="0" fontId="32" fillId="0" borderId="0" xfId="380" applyFont="1" applyFill="1" applyBorder="1" applyAlignment="1" applyProtection="1">
      <alignment horizontal="centerContinuous"/>
      <protection locked="0"/>
    </xf>
    <xf numFmtId="174" fontId="32" fillId="0" borderId="0" xfId="277" applyNumberFormat="1" applyFont="1" applyFill="1" applyBorder="1" applyAlignment="1" applyProtection="1">
      <alignment horizontal="centerContinuous"/>
      <protection locked="0"/>
    </xf>
    <xf numFmtId="0" fontId="0" fillId="0" borderId="0" xfId="0" applyNumberFormat="1" applyFill="1" applyBorder="1" applyAlignment="1" applyProtection="1">
      <alignment horizontal="centerContinuous"/>
      <protection locked="0"/>
    </xf>
    <xf numFmtId="0" fontId="4" fillId="0" borderId="0" xfId="0" applyNumberFormat="1" applyFont="1" applyFill="1" applyBorder="1" applyAlignment="1" applyProtection="1">
      <alignment horizontal="centerContinuous"/>
      <protection locked="0"/>
    </xf>
    <xf numFmtId="0" fontId="4" fillId="0" borderId="0" xfId="380" applyFill="1" applyBorder="1" applyAlignment="1" applyProtection="1">
      <alignment horizontal="centerContinuous"/>
      <protection locked="0"/>
    </xf>
    <xf numFmtId="0" fontId="4" fillId="0" borderId="0" xfId="380" applyFill="1" applyBorder="1" applyAlignment="1" applyProtection="1">
      <alignment/>
      <protection locked="0"/>
    </xf>
    <xf numFmtId="0" fontId="4" fillId="0" borderId="0" xfId="380" applyFill="1" applyAlignment="1" applyProtection="1">
      <alignment horizontal="center"/>
      <protection locked="0"/>
    </xf>
    <xf numFmtId="0" fontId="32" fillId="0" borderId="0" xfId="380" applyFont="1" applyFill="1" applyAlignment="1" applyProtection="1">
      <alignment horizontal="center"/>
      <protection locked="0"/>
    </xf>
    <xf numFmtId="0" fontId="32" fillId="0" borderId="15" xfId="380" applyFont="1" applyFill="1" applyBorder="1" applyAlignment="1" applyProtection="1">
      <alignment horizontal="centerContinuous"/>
      <protection locked="0"/>
    </xf>
    <xf numFmtId="0" fontId="32" fillId="0" borderId="15" xfId="380" applyFont="1" applyFill="1" applyBorder="1" applyAlignment="1" applyProtection="1">
      <alignment horizontal="center"/>
      <protection locked="0"/>
    </xf>
    <xf numFmtId="0" fontId="32" fillId="0" borderId="15" xfId="380" applyFont="1" applyFill="1" applyBorder="1" applyProtection="1">
      <alignment/>
      <protection locked="0"/>
    </xf>
    <xf numFmtId="0" fontId="4" fillId="0" borderId="15" xfId="380" applyFont="1" applyFill="1" applyBorder="1" applyAlignment="1" applyProtection="1">
      <alignment/>
      <protection locked="0"/>
    </xf>
    <xf numFmtId="174" fontId="32" fillId="0" borderId="15" xfId="277" applyNumberFormat="1" applyFont="1" applyFill="1" applyBorder="1" applyAlignment="1" applyProtection="1">
      <alignment horizontal="center"/>
      <protection locked="0"/>
    </xf>
    <xf numFmtId="0" fontId="0" fillId="0" borderId="15" xfId="0" applyNumberFormat="1" applyFont="1" applyFill="1" applyBorder="1" applyAlignment="1" applyProtection="1">
      <alignment/>
      <protection locked="0"/>
    </xf>
    <xf numFmtId="0" fontId="0" fillId="0" borderId="15" xfId="0" applyNumberFormat="1" applyFont="1" applyFill="1" applyBorder="1" applyAlignment="1" applyProtection="1">
      <alignment horizontal="centerContinuous"/>
      <protection locked="0"/>
    </xf>
    <xf numFmtId="0" fontId="32" fillId="0" borderId="15" xfId="0" applyNumberFormat="1" applyFont="1" applyFill="1" applyBorder="1" applyAlignment="1" applyProtection="1">
      <alignment horizontal="center"/>
      <protection locked="0"/>
    </xf>
    <xf numFmtId="10" fontId="32" fillId="0" borderId="15" xfId="380" applyNumberFormat="1" applyFont="1" applyFill="1" applyBorder="1" applyAlignment="1" applyProtection="1">
      <alignment horizontal="center"/>
      <protection locked="0"/>
    </xf>
    <xf numFmtId="0" fontId="4" fillId="0" borderId="0" xfId="380" applyFill="1" applyBorder="1" applyAlignment="1" applyProtection="1">
      <alignment horizontal="center"/>
      <protection locked="0"/>
    </xf>
    <xf numFmtId="0" fontId="4" fillId="0" borderId="0" xfId="380" applyFill="1" applyBorder="1" applyProtection="1">
      <alignment/>
      <protection locked="0"/>
    </xf>
    <xf numFmtId="0" fontId="65" fillId="0" borderId="0" xfId="380" applyFont="1" applyFill="1" applyBorder="1" applyAlignment="1" applyProtection="1">
      <alignment horizontal="center"/>
      <protection locked="0"/>
    </xf>
    <xf numFmtId="0" fontId="64" fillId="0" borderId="0" xfId="380" applyFont="1" applyFill="1" applyBorder="1" applyAlignment="1">
      <alignment horizontal="center"/>
      <protection/>
    </xf>
    <xf numFmtId="0" fontId="66" fillId="0" borderId="0" xfId="380" applyFont="1" applyFill="1" applyBorder="1" applyAlignment="1">
      <alignment horizontal="center"/>
      <protection/>
    </xf>
    <xf numFmtId="0" fontId="0" fillId="0" borderId="0" xfId="0" applyNumberFormat="1" applyFill="1" applyBorder="1" applyAlignment="1">
      <alignment/>
    </xf>
    <xf numFmtId="0" fontId="0" fillId="0" borderId="0" xfId="0" applyNumberFormat="1" applyFont="1" applyFill="1" applyBorder="1" applyAlignment="1" applyProtection="1">
      <alignment horizontal="centerContinuous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10" fontId="65" fillId="0" borderId="0" xfId="380" applyNumberFormat="1" applyFont="1" applyFill="1" applyBorder="1" applyAlignment="1" applyProtection="1">
      <alignment horizontal="center"/>
      <protection locked="0"/>
    </xf>
    <xf numFmtId="0" fontId="4" fillId="0" borderId="18" xfId="380" applyFill="1" applyBorder="1" applyAlignment="1" applyProtection="1">
      <alignment horizontal="center"/>
      <protection locked="0"/>
    </xf>
    <xf numFmtId="0" fontId="4" fillId="0" borderId="18" xfId="380" applyFill="1" applyBorder="1" applyProtection="1">
      <alignment/>
      <protection locked="0"/>
    </xf>
    <xf numFmtId="0" fontId="4" fillId="0" borderId="18" xfId="380" applyFill="1" applyBorder="1" applyAlignment="1" applyProtection="1">
      <alignment/>
      <protection locked="0"/>
    </xf>
    <xf numFmtId="0" fontId="65" fillId="0" borderId="18" xfId="380" applyFont="1" applyFill="1" applyBorder="1" applyAlignment="1" applyProtection="1">
      <alignment horizontal="center"/>
      <protection locked="0"/>
    </xf>
    <xf numFmtId="0" fontId="32" fillId="0" borderId="18" xfId="380" applyFont="1" applyFill="1" applyBorder="1" applyAlignment="1" applyProtection="1">
      <alignment horizontal="center"/>
      <protection locked="0"/>
    </xf>
    <xf numFmtId="0" fontId="0" fillId="0" borderId="18" xfId="0" applyNumberFormat="1" applyFill="1" applyBorder="1" applyAlignment="1" applyProtection="1">
      <alignment/>
      <protection locked="0"/>
    </xf>
    <xf numFmtId="174" fontId="26" fillId="0" borderId="23" xfId="277" applyNumberFormat="1" applyFont="1" applyFill="1" applyBorder="1" applyAlignment="1" applyProtection="1">
      <alignment horizontal="centerContinuous"/>
      <protection locked="0"/>
    </xf>
    <xf numFmtId="174" fontId="26" fillId="0" borderId="18" xfId="277" applyNumberFormat="1" applyFont="1" applyFill="1" applyBorder="1" applyAlignment="1" applyProtection="1">
      <alignment horizontal="centerContinuous"/>
      <protection locked="0"/>
    </xf>
    <xf numFmtId="174" fontId="32" fillId="0" borderId="18" xfId="277" applyNumberFormat="1" applyFont="1" applyFill="1" applyBorder="1" applyAlignment="1" applyProtection="1">
      <alignment horizontal="centerContinuous"/>
      <protection locked="0"/>
    </xf>
    <xf numFmtId="0" fontId="0" fillId="0" borderId="18" xfId="0" applyNumberFormat="1" applyFont="1" applyFill="1" applyBorder="1" applyAlignment="1" applyProtection="1">
      <alignment horizontal="centerContinuous"/>
      <protection locked="0"/>
    </xf>
    <xf numFmtId="0" fontId="4" fillId="0" borderId="18" xfId="0" applyNumberFormat="1" applyFont="1" applyFill="1" applyBorder="1" applyAlignment="1" applyProtection="1">
      <alignment/>
      <protection locked="0"/>
    </xf>
    <xf numFmtId="10" fontId="65" fillId="0" borderId="18" xfId="380" applyNumberFormat="1" applyFont="1" applyFill="1" applyBorder="1" applyAlignment="1" applyProtection="1">
      <alignment horizontal="center"/>
      <protection locked="0"/>
    </xf>
    <xf numFmtId="0" fontId="32" fillId="0" borderId="0" xfId="380" applyFont="1" applyFill="1" applyBorder="1" applyAlignment="1" applyProtection="1">
      <alignment/>
      <protection locked="0"/>
    </xf>
    <xf numFmtId="0" fontId="32" fillId="0" borderId="0" xfId="380" applyFont="1" applyFill="1" applyBorder="1" applyAlignment="1" applyProtection="1">
      <alignment horizontal="center"/>
      <protection locked="0"/>
    </xf>
    <xf numFmtId="0" fontId="23" fillId="0" borderId="24" xfId="380" applyFont="1" applyFill="1" applyBorder="1" applyAlignment="1" applyProtection="1">
      <alignment horizontal="left" indent="1"/>
      <protection locked="0"/>
    </xf>
    <xf numFmtId="174" fontId="26" fillId="0" borderId="0" xfId="277" applyNumberFormat="1" applyFont="1" applyFill="1" applyBorder="1" applyAlignment="1" applyProtection="1">
      <alignment horizontal="centerContinuous"/>
      <protection locked="0"/>
    </xf>
    <xf numFmtId="0" fontId="4" fillId="0" borderId="0" xfId="380" applyFill="1" applyBorder="1" applyAlignment="1" applyProtection="1">
      <alignment horizontal="right"/>
      <protection locked="0"/>
    </xf>
    <xf numFmtId="41" fontId="65" fillId="0" borderId="0" xfId="380" applyNumberFormat="1" applyFont="1" applyFill="1" applyBorder="1" applyAlignment="1" applyProtection="1">
      <alignment horizontal="center"/>
      <protection locked="0"/>
    </xf>
    <xf numFmtId="41" fontId="4" fillId="0" borderId="0" xfId="277" applyNumberFormat="1" applyFill="1" applyBorder="1" applyAlignment="1" applyProtection="1">
      <alignment/>
      <protection locked="0"/>
    </xf>
    <xf numFmtId="41" fontId="0" fillId="0" borderId="0" xfId="0" applyNumberFormat="1" applyFill="1" applyBorder="1" applyAlignment="1" applyProtection="1">
      <alignment/>
      <protection locked="0"/>
    </xf>
    <xf numFmtId="41" fontId="65" fillId="0" borderId="24" xfId="277" applyNumberFormat="1" applyFont="1" applyFill="1" applyBorder="1" applyAlignment="1" applyProtection="1">
      <alignment horizontal="center"/>
      <protection locked="0"/>
    </xf>
    <xf numFmtId="41" fontId="65" fillId="0" borderId="0" xfId="277" applyNumberFormat="1" applyFont="1" applyFill="1" applyBorder="1" applyAlignment="1" applyProtection="1">
      <alignment horizontal="center"/>
      <protection locked="0"/>
    </xf>
    <xf numFmtId="41" fontId="0" fillId="0" borderId="0" xfId="0" applyNumberFormat="1" applyFill="1" applyBorder="1" applyAlignment="1" applyProtection="1">
      <alignment horizontal="center"/>
      <protection locked="0"/>
    </xf>
    <xf numFmtId="10" fontId="4" fillId="0" borderId="0" xfId="0" applyNumberFormat="1" applyFont="1" applyFill="1" applyBorder="1" applyAlignment="1" applyProtection="1">
      <alignment/>
      <protection locked="0"/>
    </xf>
    <xf numFmtId="0" fontId="4" fillId="0" borderId="0" xfId="380" applyFill="1" applyBorder="1" applyAlignment="1" applyProtection="1" quotePrefix="1">
      <alignment horizontal="center"/>
      <protection locked="0"/>
    </xf>
    <xf numFmtId="41" fontId="4" fillId="0" borderId="24" xfId="277" applyNumberFormat="1" applyFill="1" applyBorder="1" applyAlignment="1" applyProtection="1">
      <alignment/>
      <protection locked="0"/>
    </xf>
    <xf numFmtId="207" fontId="0" fillId="0" borderId="0" xfId="0" applyNumberFormat="1" applyFill="1" applyBorder="1" applyAlignment="1" applyProtection="1">
      <alignment horizontal="center"/>
      <protection locked="0"/>
    </xf>
    <xf numFmtId="41" fontId="4" fillId="0" borderId="0" xfId="305" applyNumberFormat="1" applyFill="1" applyBorder="1" applyAlignment="1" applyProtection="1">
      <alignment/>
      <protection locked="0"/>
    </xf>
    <xf numFmtId="175" fontId="4" fillId="0" borderId="0" xfId="305" applyNumberFormat="1" applyFill="1" applyBorder="1" applyAlignment="1" applyProtection="1">
      <alignment/>
      <protection locked="0"/>
    </xf>
    <xf numFmtId="174" fontId="4" fillId="0" borderId="24" xfId="277" applyNumberFormat="1" applyFill="1" applyBorder="1" applyAlignment="1" applyProtection="1">
      <alignment/>
      <protection locked="0"/>
    </xf>
    <xf numFmtId="174" fontId="4" fillId="0" borderId="0" xfId="277" applyNumberFormat="1" applyFont="1" applyFill="1" applyBorder="1" applyAlignment="1" applyProtection="1">
      <alignment/>
      <protection locked="0"/>
    </xf>
    <xf numFmtId="207" fontId="0" fillId="0" borderId="0" xfId="0" applyNumberFormat="1" applyFont="1" applyFill="1" applyBorder="1" applyAlignment="1" applyProtection="1">
      <alignment horizontal="center"/>
      <protection locked="0"/>
    </xf>
    <xf numFmtId="41" fontId="0" fillId="0" borderId="0" xfId="0" applyNumberFormat="1" applyFont="1" applyFill="1" applyBorder="1" applyAlignment="1" applyProtection="1">
      <alignment/>
      <protection locked="0"/>
    </xf>
    <xf numFmtId="10" fontId="23" fillId="0" borderId="0" xfId="0" applyNumberFormat="1" applyFont="1" applyFill="1" applyBorder="1" applyAlignment="1" applyProtection="1">
      <alignment/>
      <protection locked="0"/>
    </xf>
    <xf numFmtId="41" fontId="4" fillId="0" borderId="0" xfId="305" applyNumberFormat="1" applyFont="1" applyFill="1" applyBorder="1" applyAlignment="1" applyProtection="1">
      <alignment/>
      <protection locked="0"/>
    </xf>
    <xf numFmtId="0" fontId="4" fillId="0" borderId="23" xfId="380" applyFill="1" applyBorder="1" applyAlignment="1" applyProtection="1" quotePrefix="1">
      <alignment horizontal="center" vertical="center"/>
      <protection locked="0"/>
    </xf>
    <xf numFmtId="0" fontId="4" fillId="0" borderId="18" xfId="380" applyFill="1" applyBorder="1" applyAlignment="1" applyProtection="1">
      <alignment horizontal="right" vertical="center"/>
      <protection locked="0"/>
    </xf>
    <xf numFmtId="41" fontId="4" fillId="0" borderId="18" xfId="277" applyNumberFormat="1" applyFill="1" applyBorder="1" applyAlignment="1" applyProtection="1">
      <alignment/>
      <protection locked="0"/>
    </xf>
    <xf numFmtId="41" fontId="4" fillId="0" borderId="18" xfId="277" applyNumberFormat="1" applyFill="1" applyBorder="1" applyAlignment="1" applyProtection="1">
      <alignment horizontal="right" vertical="center"/>
      <protection locked="0"/>
    </xf>
    <xf numFmtId="41" fontId="0" fillId="0" borderId="18" xfId="0" applyNumberFormat="1" applyFill="1" applyBorder="1" applyAlignment="1" applyProtection="1">
      <alignment/>
      <protection locked="0"/>
    </xf>
    <xf numFmtId="174" fontId="4" fillId="0" borderId="23" xfId="277" applyNumberFormat="1" applyFill="1" applyBorder="1" applyAlignment="1" applyProtection="1">
      <alignment/>
      <protection locked="0"/>
    </xf>
    <xf numFmtId="174" fontId="4" fillId="0" borderId="18" xfId="277" applyNumberFormat="1" applyFont="1" applyFill="1" applyBorder="1" applyAlignment="1" applyProtection="1">
      <alignment/>
      <protection locked="0"/>
    </xf>
    <xf numFmtId="207" fontId="0" fillId="0" borderId="18" xfId="0" applyNumberFormat="1" applyFont="1" applyFill="1" applyBorder="1" applyAlignment="1" applyProtection="1">
      <alignment horizontal="center"/>
      <protection locked="0"/>
    </xf>
    <xf numFmtId="41" fontId="0" fillId="0" borderId="18" xfId="0" applyNumberFormat="1" applyFont="1" applyFill="1" applyBorder="1" applyAlignment="1" applyProtection="1">
      <alignment/>
      <protection locked="0"/>
    </xf>
    <xf numFmtId="10" fontId="4" fillId="0" borderId="18" xfId="0" applyNumberFormat="1" applyFont="1" applyFill="1" applyBorder="1" applyAlignment="1" applyProtection="1">
      <alignment/>
      <protection locked="0"/>
    </xf>
    <xf numFmtId="41" fontId="4" fillId="0" borderId="18" xfId="305" applyNumberFormat="1" applyFont="1" applyFill="1" applyBorder="1" applyAlignment="1" applyProtection="1">
      <alignment/>
      <protection locked="0"/>
    </xf>
    <xf numFmtId="41" fontId="4" fillId="0" borderId="25" xfId="305" applyNumberFormat="1" applyFill="1" applyBorder="1" applyAlignment="1" applyProtection="1">
      <alignment/>
      <protection locked="0"/>
    </xf>
    <xf numFmtId="0" fontId="4" fillId="0" borderId="26" xfId="380" applyFill="1" applyBorder="1" applyAlignment="1" applyProtection="1" quotePrefix="1">
      <alignment horizontal="center" vertical="center"/>
      <protection locked="0"/>
    </xf>
    <xf numFmtId="0" fontId="4" fillId="0" borderId="27" xfId="380" applyFill="1" applyBorder="1" applyAlignment="1" applyProtection="1">
      <alignment horizontal="right" vertical="center"/>
      <protection locked="0"/>
    </xf>
    <xf numFmtId="41" fontId="4" fillId="0" borderId="27" xfId="277" applyNumberFormat="1" applyFill="1" applyBorder="1" applyAlignment="1" applyProtection="1">
      <alignment/>
      <protection locked="0"/>
    </xf>
    <xf numFmtId="41" fontId="4" fillId="0" borderId="27" xfId="277" applyNumberFormat="1" applyFill="1" applyBorder="1" applyAlignment="1" applyProtection="1">
      <alignment horizontal="right" vertical="center"/>
      <protection locked="0"/>
    </xf>
    <xf numFmtId="41" fontId="0" fillId="0" borderId="27" xfId="0" applyNumberFormat="1" applyFill="1" applyBorder="1" applyAlignment="1" applyProtection="1">
      <alignment/>
      <protection locked="0"/>
    </xf>
    <xf numFmtId="174" fontId="4" fillId="0" borderId="26" xfId="277" applyNumberFormat="1" applyFill="1" applyBorder="1" applyAlignment="1" applyProtection="1">
      <alignment/>
      <protection locked="0"/>
    </xf>
    <xf numFmtId="174" fontId="4" fillId="0" borderId="27" xfId="277" applyNumberFormat="1" applyFill="1" applyBorder="1" applyAlignment="1" applyProtection="1">
      <alignment/>
      <protection locked="0"/>
    </xf>
    <xf numFmtId="207" fontId="23" fillId="0" borderId="27" xfId="0" applyNumberFormat="1" applyFont="1" applyFill="1" applyBorder="1" applyAlignment="1" applyProtection="1">
      <alignment horizontal="center"/>
      <protection locked="0"/>
    </xf>
    <xf numFmtId="10" fontId="4" fillId="0" borderId="27" xfId="0" applyNumberFormat="1" applyFont="1" applyFill="1" applyBorder="1" applyAlignment="1" applyProtection="1">
      <alignment/>
      <protection locked="0"/>
    </xf>
    <xf numFmtId="41" fontId="4" fillId="0" borderId="27" xfId="305" applyNumberFormat="1" applyFont="1" applyFill="1" applyBorder="1" applyAlignment="1" applyProtection="1">
      <alignment/>
      <protection locked="0"/>
    </xf>
    <xf numFmtId="41" fontId="4" fillId="0" borderId="28" xfId="305" applyNumberFormat="1" applyFill="1" applyBorder="1" applyAlignment="1" applyProtection="1">
      <alignment/>
      <protection locked="0"/>
    </xf>
    <xf numFmtId="174" fontId="4" fillId="0" borderId="0" xfId="277" applyNumberFormat="1" applyFill="1" applyBorder="1" applyAlignment="1" applyProtection="1">
      <alignment/>
      <protection locked="0"/>
    </xf>
    <xf numFmtId="207" fontId="23" fillId="0" borderId="0" xfId="0" applyNumberFormat="1" applyFont="1" applyFill="1" applyBorder="1" applyAlignment="1" applyProtection="1">
      <alignment horizontal="center"/>
      <protection locked="0"/>
    </xf>
    <xf numFmtId="0" fontId="4" fillId="0" borderId="18" xfId="380" applyFill="1" applyBorder="1" applyAlignment="1" applyProtection="1">
      <alignment horizontal="right"/>
      <protection locked="0"/>
    </xf>
    <xf numFmtId="41" fontId="4" fillId="0" borderId="23" xfId="277" applyNumberFormat="1" applyFill="1" applyBorder="1" applyAlignment="1" applyProtection="1">
      <alignment/>
      <protection locked="0"/>
    </xf>
    <xf numFmtId="207" fontId="23" fillId="0" borderId="18" xfId="0" applyNumberFormat="1" applyFont="1" applyFill="1" applyBorder="1" applyAlignment="1" applyProtection="1">
      <alignment horizontal="center"/>
      <protection locked="0"/>
    </xf>
    <xf numFmtId="41" fontId="4" fillId="0" borderId="18" xfId="380" applyNumberFormat="1" applyFill="1" applyBorder="1" applyAlignment="1" applyProtection="1">
      <alignment/>
      <protection locked="0"/>
    </xf>
    <xf numFmtId="41" fontId="23" fillId="0" borderId="24" xfId="277" applyNumberFormat="1" applyFont="1" applyFill="1" applyBorder="1" applyAlignment="1" applyProtection="1">
      <alignment horizontal="left" indent="1"/>
      <protection locked="0"/>
    </xf>
    <xf numFmtId="41" fontId="4" fillId="0" borderId="0" xfId="380" applyNumberFormat="1" applyFill="1" applyBorder="1" applyAlignment="1" applyProtection="1">
      <alignment/>
      <protection locked="0"/>
    </xf>
    <xf numFmtId="43" fontId="4" fillId="0" borderId="0" xfId="380" applyNumberFormat="1" applyFill="1" applyProtection="1">
      <alignment/>
      <protection locked="0"/>
    </xf>
    <xf numFmtId="174" fontId="4" fillId="0" borderId="0" xfId="277" applyNumberFormat="1" applyFill="1" applyAlignment="1" applyProtection="1">
      <alignment/>
      <protection locked="0"/>
    </xf>
    <xf numFmtId="0" fontId="4" fillId="0" borderId="27" xfId="380" applyFill="1" applyBorder="1" applyAlignment="1" applyProtection="1">
      <alignment horizontal="center"/>
      <protection locked="0"/>
    </xf>
    <xf numFmtId="0" fontId="4" fillId="0" borderId="27" xfId="380" applyFill="1" applyBorder="1" applyAlignment="1" applyProtection="1" quotePrefix="1">
      <alignment horizontal="center"/>
      <protection locked="0"/>
    </xf>
    <xf numFmtId="0" fontId="4" fillId="0" borderId="27" xfId="380" applyFill="1" applyBorder="1" applyAlignment="1" applyProtection="1">
      <alignment horizontal="right"/>
      <protection locked="0"/>
    </xf>
    <xf numFmtId="41" fontId="4" fillId="0" borderId="26" xfId="277" applyNumberFormat="1" applyFill="1" applyBorder="1" applyAlignment="1" applyProtection="1">
      <alignment/>
      <protection locked="0"/>
    </xf>
    <xf numFmtId="41" fontId="4" fillId="0" borderId="27" xfId="305" applyNumberFormat="1" applyFill="1" applyBorder="1" applyAlignment="1" applyProtection="1">
      <alignment/>
      <protection locked="0"/>
    </xf>
    <xf numFmtId="41" fontId="4" fillId="0" borderId="18" xfId="305" applyNumberFormat="1" applyFill="1" applyBorder="1" applyAlignment="1" applyProtection="1">
      <alignment/>
      <protection locked="0"/>
    </xf>
    <xf numFmtId="41" fontId="4" fillId="0" borderId="0" xfId="277" applyNumberFormat="1" applyFont="1" applyFill="1" applyBorder="1" applyAlignment="1" applyProtection="1">
      <alignment/>
      <protection locked="0"/>
    </xf>
    <xf numFmtId="6" fontId="4" fillId="0" borderId="0" xfId="277" applyNumberFormat="1" applyFill="1" applyBorder="1" applyAlignment="1" applyProtection="1">
      <alignment/>
      <protection locked="0"/>
    </xf>
    <xf numFmtId="174" fontId="4" fillId="0" borderId="27" xfId="277" applyNumberFormat="1" applyFont="1" applyFill="1" applyBorder="1" applyAlignment="1" applyProtection="1">
      <alignment/>
      <protection locked="0"/>
    </xf>
    <xf numFmtId="0" fontId="4" fillId="0" borderId="18" xfId="380" applyFill="1" applyBorder="1" applyAlignment="1" applyProtection="1" quotePrefix="1">
      <alignment horizontal="center"/>
      <protection locked="0"/>
    </xf>
    <xf numFmtId="207" fontId="23" fillId="0" borderId="0" xfId="0" applyNumberFormat="1" applyFont="1" applyFill="1" applyBorder="1" applyAlignment="1" applyProtection="1">
      <alignment/>
      <protection locked="0"/>
    </xf>
    <xf numFmtId="41" fontId="4" fillId="0" borderId="24" xfId="277" applyNumberFormat="1" applyFont="1" applyFill="1" applyBorder="1" applyAlignment="1" applyProtection="1">
      <alignment/>
      <protection locked="0"/>
    </xf>
    <xf numFmtId="41" fontId="4" fillId="0" borderId="0" xfId="277" applyNumberFormat="1" applyFill="1" applyBorder="1" applyAlignment="1" applyProtection="1">
      <alignment horizontal="right" vertical="center"/>
      <protection locked="0"/>
    </xf>
    <xf numFmtId="41" fontId="0" fillId="0" borderId="27" xfId="0" applyNumberFormat="1" applyFill="1" applyBorder="1" applyAlignment="1" applyProtection="1">
      <alignment horizontal="center"/>
      <protection locked="0"/>
    </xf>
    <xf numFmtId="207" fontId="23" fillId="0" borderId="18" xfId="0" applyNumberFormat="1" applyFont="1" applyFill="1" applyBorder="1" applyAlignment="1" applyProtection="1">
      <alignment/>
      <protection locked="0"/>
    </xf>
    <xf numFmtId="0" fontId="4" fillId="0" borderId="0" xfId="380" applyFont="1" applyFill="1" applyBorder="1" applyAlignment="1" applyProtection="1" quotePrefix="1">
      <alignment horizontal="center"/>
      <protection locked="0"/>
    </xf>
    <xf numFmtId="41" fontId="0" fillId="0" borderId="10" xfId="0" applyNumberFormat="1" applyFill="1" applyBorder="1" applyAlignment="1" applyProtection="1">
      <alignment/>
      <protection locked="0"/>
    </xf>
    <xf numFmtId="41" fontId="0" fillId="0" borderId="0" xfId="0" applyNumberFormat="1" applyFill="1" applyAlignment="1" applyProtection="1">
      <alignment/>
      <protection locked="0"/>
    </xf>
    <xf numFmtId="175" fontId="4" fillId="0" borderId="0" xfId="380" applyNumberFormat="1" applyFill="1" applyBorder="1" applyAlignment="1" applyProtection="1">
      <alignment/>
      <protection locked="0"/>
    </xf>
    <xf numFmtId="41" fontId="4" fillId="0" borderId="27" xfId="277" applyNumberFormat="1" applyFill="1" applyBorder="1" applyAlignment="1" applyProtection="1">
      <alignment horizontal="center"/>
      <protection locked="0"/>
    </xf>
    <xf numFmtId="41" fontId="4" fillId="0" borderId="18" xfId="277" applyNumberFormat="1" applyFill="1" applyBorder="1" applyAlignment="1" applyProtection="1">
      <alignment horizontal="center"/>
      <protection locked="0"/>
    </xf>
    <xf numFmtId="41" fontId="0" fillId="0" borderId="25" xfId="0" applyNumberFormat="1" applyFill="1" applyBorder="1" applyAlignment="1" applyProtection="1">
      <alignment/>
      <protection locked="0"/>
    </xf>
    <xf numFmtId="41" fontId="0" fillId="0" borderId="10" xfId="379" applyNumberFormat="1" applyFont="1" applyFill="1" applyBorder="1" applyAlignment="1" applyProtection="1">
      <alignment/>
      <protection locked="0"/>
    </xf>
    <xf numFmtId="41" fontId="23" fillId="0" borderId="0" xfId="277" applyNumberFormat="1" applyFont="1" applyFill="1" applyBorder="1" applyAlignment="1" applyProtection="1">
      <alignment horizontal="left" indent="1"/>
      <protection locked="0"/>
    </xf>
    <xf numFmtId="41" fontId="0" fillId="0" borderId="0" xfId="379" applyNumberFormat="1" applyFont="1" applyFill="1" applyBorder="1" applyAlignment="1" applyProtection="1">
      <alignment horizontal="center"/>
      <protection locked="0"/>
    </xf>
    <xf numFmtId="41" fontId="0" fillId="0" borderId="0" xfId="379" applyNumberFormat="1" applyFont="1" applyFill="1" applyBorder="1" applyAlignment="1" applyProtection="1">
      <alignment/>
      <protection locked="0"/>
    </xf>
    <xf numFmtId="0" fontId="4" fillId="0" borderId="0" xfId="379" applyNumberFormat="1" applyFont="1" applyFill="1" applyBorder="1" applyAlignment="1" applyProtection="1">
      <alignment/>
      <protection locked="0"/>
    </xf>
    <xf numFmtId="41" fontId="4" fillId="0" borderId="26" xfId="277" applyNumberFormat="1" applyFont="1" applyFill="1" applyBorder="1" applyAlignment="1" applyProtection="1">
      <alignment/>
      <protection locked="0"/>
    </xf>
    <xf numFmtId="10" fontId="23" fillId="0" borderId="27" xfId="0" applyNumberFormat="1" applyFont="1" applyFill="1" applyBorder="1" applyAlignment="1" applyProtection="1">
      <alignment/>
      <protection locked="0"/>
    </xf>
    <xf numFmtId="10" fontId="4" fillId="0" borderId="0" xfId="379" applyNumberFormat="1" applyFont="1" applyFill="1" applyBorder="1" applyAlignment="1" applyProtection="1">
      <alignment/>
      <protection locked="0"/>
    </xf>
    <xf numFmtId="41" fontId="0" fillId="0" borderId="28" xfId="379" applyNumberFormat="1" applyFont="1" applyFill="1" applyBorder="1" applyAlignment="1" applyProtection="1">
      <alignment/>
      <protection locked="0"/>
    </xf>
    <xf numFmtId="41" fontId="4" fillId="0" borderId="27" xfId="277" applyNumberFormat="1" applyFont="1" applyFill="1" applyBorder="1" applyAlignment="1" applyProtection="1">
      <alignment/>
      <protection locked="0"/>
    </xf>
    <xf numFmtId="207" fontId="0" fillId="0" borderId="27" xfId="0" applyNumberFormat="1" applyFont="1" applyFill="1" applyBorder="1" applyAlignment="1" applyProtection="1">
      <alignment horizontal="center"/>
      <protection locked="0"/>
    </xf>
    <xf numFmtId="41" fontId="0" fillId="0" borderId="27" xfId="379" applyNumberFormat="1" applyFont="1" applyFill="1" applyBorder="1" applyAlignment="1" applyProtection="1">
      <alignment/>
      <protection locked="0"/>
    </xf>
    <xf numFmtId="10" fontId="4" fillId="0" borderId="27" xfId="379" applyNumberFormat="1" applyFont="1" applyFill="1" applyBorder="1" applyAlignment="1" applyProtection="1">
      <alignment/>
      <protection locked="0"/>
    </xf>
    <xf numFmtId="41" fontId="0" fillId="0" borderId="18" xfId="0" applyNumberFormat="1" applyFill="1" applyBorder="1" applyAlignment="1" applyProtection="1">
      <alignment horizontal="center"/>
      <protection locked="0"/>
    </xf>
    <xf numFmtId="0" fontId="4" fillId="0" borderId="29" xfId="380" applyFill="1" applyBorder="1" applyAlignment="1" applyProtection="1">
      <alignment horizontal="right"/>
      <protection locked="0"/>
    </xf>
    <xf numFmtId="17" fontId="4" fillId="0" borderId="16" xfId="277" applyNumberFormat="1" applyFill="1" applyBorder="1" applyAlignment="1" applyProtection="1">
      <alignment/>
      <protection locked="0"/>
    </xf>
    <xf numFmtId="17" fontId="4" fillId="0" borderId="16" xfId="277" applyNumberFormat="1" applyFill="1" applyBorder="1" applyAlignment="1" applyProtection="1">
      <alignment horizontal="center"/>
      <protection locked="0"/>
    </xf>
    <xf numFmtId="0" fontId="0" fillId="0" borderId="16" xfId="0" applyNumberFormat="1" applyFill="1" applyBorder="1" applyAlignment="1" applyProtection="1">
      <alignment/>
      <protection locked="0"/>
    </xf>
    <xf numFmtId="41" fontId="4" fillId="0" borderId="16" xfId="380" applyNumberFormat="1" applyFill="1" applyBorder="1" applyAlignment="1" applyProtection="1">
      <alignment/>
      <protection locked="0"/>
    </xf>
    <xf numFmtId="207" fontId="23" fillId="0" borderId="16" xfId="0" applyNumberFormat="1" applyFont="1" applyFill="1" applyBorder="1" applyAlignment="1" applyProtection="1">
      <alignment horizontal="center"/>
      <protection locked="0"/>
    </xf>
    <xf numFmtId="41" fontId="0" fillId="0" borderId="16" xfId="0" applyNumberFormat="1" applyFill="1" applyBorder="1" applyAlignment="1" applyProtection="1">
      <alignment/>
      <protection locked="0"/>
    </xf>
    <xf numFmtId="41" fontId="40" fillId="0" borderId="16" xfId="380" applyNumberFormat="1" applyFont="1" applyFill="1" applyBorder="1" applyAlignment="1" applyProtection="1">
      <alignment horizontal="centerContinuous"/>
      <protection locked="0"/>
    </xf>
    <xf numFmtId="0" fontId="4" fillId="0" borderId="30" xfId="380" applyFill="1" applyBorder="1" applyProtection="1">
      <alignment/>
      <protection locked="0"/>
    </xf>
    <xf numFmtId="41" fontId="32" fillId="0" borderId="3" xfId="380" applyNumberFormat="1" applyFont="1" applyFill="1" applyBorder="1" applyAlignment="1" applyProtection="1">
      <alignment horizontal="centerContinuous"/>
      <protection locked="0"/>
    </xf>
    <xf numFmtId="41" fontId="45" fillId="0" borderId="3" xfId="380" applyNumberFormat="1" applyFont="1" applyFill="1" applyBorder="1" applyAlignment="1" applyProtection="1">
      <alignment horizontal="centerContinuous"/>
      <protection locked="0"/>
    </xf>
    <xf numFmtId="0" fontId="32" fillId="0" borderId="31" xfId="380" applyFont="1" applyFill="1" applyBorder="1" applyAlignment="1" applyProtection="1">
      <alignment horizontal="center"/>
      <protection locked="0"/>
    </xf>
    <xf numFmtId="17" fontId="32" fillId="0" borderId="15" xfId="277" applyNumberFormat="1" applyFont="1" applyFill="1" applyBorder="1" applyAlignment="1" applyProtection="1">
      <alignment horizontal="center"/>
      <protection locked="0"/>
    </xf>
    <xf numFmtId="0" fontId="0" fillId="0" borderId="15" xfId="0" applyNumberFormat="1" applyFill="1" applyBorder="1" applyAlignment="1" applyProtection="1">
      <alignment/>
      <protection locked="0"/>
    </xf>
    <xf numFmtId="41" fontId="32" fillId="0" borderId="15" xfId="380" applyNumberFormat="1" applyFont="1" applyFill="1" applyBorder="1" applyAlignment="1" applyProtection="1">
      <alignment horizontal="centerContinuous"/>
      <protection locked="0"/>
    </xf>
    <xf numFmtId="0" fontId="32" fillId="0" borderId="32" xfId="380" applyFont="1" applyFill="1" applyBorder="1" applyAlignment="1" applyProtection="1">
      <alignment horizontal="center"/>
      <protection locked="0"/>
    </xf>
    <xf numFmtId="0" fontId="4" fillId="0" borderId="33" xfId="380" applyFill="1" applyBorder="1" applyAlignment="1" applyProtection="1">
      <alignment horizontal="right"/>
      <protection locked="0"/>
    </xf>
    <xf numFmtId="17" fontId="4" fillId="0" borderId="0" xfId="277" applyNumberFormat="1" applyFill="1" applyBorder="1" applyAlignment="1" applyProtection="1">
      <alignment/>
      <protection locked="0"/>
    </xf>
    <xf numFmtId="17" fontId="4" fillId="0" borderId="0" xfId="277" applyNumberFormat="1" applyFill="1" applyBorder="1" applyAlignment="1" applyProtection="1">
      <alignment horizontal="center"/>
      <protection locked="0"/>
    </xf>
    <xf numFmtId="41" fontId="40" fillId="0" borderId="0" xfId="380" applyNumberFormat="1" applyFont="1" applyFill="1" applyBorder="1" applyAlignment="1" applyProtection="1">
      <alignment horizontal="centerContinuous"/>
      <protection locked="0"/>
    </xf>
    <xf numFmtId="0" fontId="4" fillId="0" borderId="34" xfId="380" applyFill="1" applyBorder="1" applyProtection="1">
      <alignment/>
      <protection locked="0"/>
    </xf>
    <xf numFmtId="0" fontId="4" fillId="0" borderId="33" xfId="380" applyFont="1" applyFill="1" applyBorder="1" applyAlignment="1" applyProtection="1">
      <alignment horizontal="left" indent="1"/>
      <protection locked="0"/>
    </xf>
    <xf numFmtId="208" fontId="4" fillId="0" borderId="0" xfId="277" applyNumberFormat="1" applyFill="1" applyBorder="1" applyAlignment="1" applyProtection="1">
      <alignment horizontal="center"/>
      <protection locked="0"/>
    </xf>
    <xf numFmtId="41" fontId="4" fillId="0" borderId="0" xfId="380" applyNumberFormat="1" applyFill="1" applyBorder="1" applyAlignment="1">
      <alignment/>
      <protection/>
    </xf>
    <xf numFmtId="207" fontId="0" fillId="0" borderId="0" xfId="0" applyNumberFormat="1" applyFont="1" applyFill="1" applyBorder="1" applyAlignment="1">
      <alignment horizontal="center"/>
    </xf>
    <xf numFmtId="41" fontId="0" fillId="0" borderId="0" xfId="0" applyNumberFormat="1" applyFill="1" applyBorder="1" applyAlignment="1">
      <alignment/>
    </xf>
    <xf numFmtId="37" fontId="4" fillId="0" borderId="0" xfId="380" applyNumberFormat="1" applyFill="1" applyBorder="1" applyAlignment="1">
      <alignment/>
      <protection/>
    </xf>
    <xf numFmtId="3" fontId="4" fillId="0" borderId="34" xfId="265" applyNumberFormat="1" applyFont="1" applyFill="1" applyBorder="1" applyAlignment="1" applyProtection="1">
      <alignment/>
      <protection/>
    </xf>
    <xf numFmtId="10" fontId="4" fillId="0" borderId="0" xfId="0" applyNumberFormat="1" applyFont="1" applyFill="1" applyBorder="1" applyAlignment="1">
      <alignment/>
    </xf>
    <xf numFmtId="0" fontId="4" fillId="0" borderId="35" xfId="380" applyFont="1" applyFill="1" applyBorder="1" applyAlignment="1" applyProtection="1">
      <alignment horizontal="left" indent="1"/>
      <protection locked="0"/>
    </xf>
    <xf numFmtId="17" fontId="4" fillId="0" borderId="36" xfId="277" applyNumberFormat="1" applyFill="1" applyBorder="1" applyAlignment="1" applyProtection="1">
      <alignment/>
      <protection locked="0"/>
    </xf>
    <xf numFmtId="208" fontId="4" fillId="0" borderId="36" xfId="277" applyNumberFormat="1" applyFill="1" applyBorder="1" applyAlignment="1" applyProtection="1">
      <alignment horizontal="center"/>
      <protection locked="0"/>
    </xf>
    <xf numFmtId="0" fontId="0" fillId="0" borderId="36" xfId="0" applyNumberFormat="1" applyFill="1" applyBorder="1" applyAlignment="1" applyProtection="1">
      <alignment/>
      <protection locked="0"/>
    </xf>
    <xf numFmtId="41" fontId="4" fillId="0" borderId="36" xfId="380" applyNumberFormat="1" applyFill="1" applyBorder="1" applyAlignment="1">
      <alignment/>
      <protection/>
    </xf>
    <xf numFmtId="207" fontId="23" fillId="0" borderId="36" xfId="0" applyNumberFormat="1" applyFont="1" applyFill="1" applyBorder="1" applyAlignment="1" applyProtection="1">
      <alignment horizontal="center"/>
      <protection locked="0"/>
    </xf>
    <xf numFmtId="41" fontId="0" fillId="0" borderId="36" xfId="0" applyNumberFormat="1" applyFill="1" applyBorder="1" applyAlignment="1" applyProtection="1">
      <alignment/>
      <protection locked="0"/>
    </xf>
    <xf numFmtId="10" fontId="4" fillId="0" borderId="36" xfId="0" applyNumberFormat="1" applyFont="1" applyFill="1" applyBorder="1" applyAlignment="1" applyProtection="1">
      <alignment/>
      <protection locked="0"/>
    </xf>
    <xf numFmtId="37" fontId="4" fillId="0" borderId="36" xfId="380" applyNumberFormat="1" applyFill="1" applyBorder="1" applyAlignment="1">
      <alignment/>
      <protection/>
    </xf>
    <xf numFmtId="3" fontId="4" fillId="0" borderId="37" xfId="265" applyNumberFormat="1" applyFont="1" applyFill="1" applyBorder="1" applyAlignment="1" applyProtection="1">
      <alignment/>
      <protection/>
    </xf>
    <xf numFmtId="0" fontId="4" fillId="0" borderId="33" xfId="380" applyFill="1" applyBorder="1" applyAlignment="1" applyProtection="1">
      <alignment horizontal="center"/>
      <protection locked="0"/>
    </xf>
    <xf numFmtId="207" fontId="23" fillId="0" borderId="0" xfId="0" applyNumberFormat="1" applyFont="1" applyFill="1" applyBorder="1" applyAlignment="1">
      <alignment horizontal="center"/>
    </xf>
    <xf numFmtId="10" fontId="4" fillId="0" borderId="0" xfId="397" applyNumberFormat="1" applyFont="1" applyFill="1" applyBorder="1" applyAlignment="1">
      <alignment/>
    </xf>
    <xf numFmtId="41" fontId="4" fillId="0" borderId="0" xfId="380" applyNumberFormat="1" applyFill="1" applyBorder="1" applyAlignment="1" applyProtection="1">
      <alignment/>
      <protection/>
    </xf>
    <xf numFmtId="0" fontId="4" fillId="0" borderId="38" xfId="380" applyFill="1" applyBorder="1">
      <alignment/>
      <protection/>
    </xf>
    <xf numFmtId="0" fontId="4" fillId="0" borderId="16" xfId="380" applyFill="1" applyBorder="1" applyAlignment="1" applyProtection="1">
      <alignment horizontal="center"/>
      <protection locked="0"/>
    </xf>
    <xf numFmtId="41" fontId="4" fillId="0" borderId="16" xfId="380" applyNumberFormat="1" applyFill="1" applyBorder="1" applyAlignment="1" applyProtection="1">
      <alignment horizontal="right"/>
      <protection locked="0"/>
    </xf>
    <xf numFmtId="10" fontId="4" fillId="0" borderId="16" xfId="397" applyNumberFormat="1" applyFont="1" applyFill="1" applyBorder="1" applyAlignment="1" applyProtection="1">
      <alignment/>
      <protection locked="0"/>
    </xf>
    <xf numFmtId="0" fontId="32" fillId="0" borderId="0" xfId="380" applyFont="1" applyFill="1" applyBorder="1" applyAlignment="1" quotePrefix="1">
      <alignment horizontal="left" indent="1"/>
      <protection/>
    </xf>
    <xf numFmtId="0" fontId="4" fillId="0" borderId="0" xfId="380" applyFill="1" applyBorder="1" applyAlignment="1" quotePrefix="1">
      <alignment horizontal="left" indent="7"/>
      <protection/>
    </xf>
    <xf numFmtId="0" fontId="0" fillId="0" borderId="0" xfId="0" applyNumberFormat="1" applyFont="1" applyAlignment="1">
      <alignment/>
    </xf>
    <xf numFmtId="0" fontId="4" fillId="0" borderId="0" xfId="381" applyFill="1" applyAlignment="1">
      <alignment horizontal="right"/>
      <protection/>
    </xf>
    <xf numFmtId="0" fontId="4" fillId="0" borderId="0" xfId="381" applyFont="1" applyFill="1" applyAlignment="1">
      <alignment horizontal="center"/>
      <protection/>
    </xf>
  </cellXfs>
  <cellStyles count="447">
    <cellStyle name="Normal" xfId="0"/>
    <cellStyle name="_x0013_" xfId="15"/>
    <cellStyle name="_4.06E Pass Throughs" xfId="16"/>
    <cellStyle name="_4.06E Pass Throughs_04 07E Wild Horse Wind Expansion (C) (2)" xfId="17"/>
    <cellStyle name="_4.06E Pass Throughs_04 07E Wild Horse Wind Expansion (C) (2)_JHS-4 through JHS-7 Elec (2009 GRC) " xfId="18"/>
    <cellStyle name="_4.06E Pass Throughs_INPUTS" xfId="19"/>
    <cellStyle name="_4.06E Pass Throughs_Production Adj 4.37" xfId="20"/>
    <cellStyle name="_4.06E Pass Throughs_Purchased Power Adj 4.03" xfId="21"/>
    <cellStyle name="_4.06E Pass Throughs_ROR &amp; CONV FACTOR" xfId="22"/>
    <cellStyle name="_4.06E Pass Throughs_ROR 5.02" xfId="23"/>
    <cellStyle name="_4.13E Montana Energy Tax" xfId="24"/>
    <cellStyle name="_4.13E Montana Energy Tax_04 07E Wild Horse Wind Expansion (C) (2)" xfId="25"/>
    <cellStyle name="_4.13E Montana Energy Tax_04 07E Wild Horse Wind Expansion (C) (2)_JHS-4 through JHS-7 Elec (2009 GRC) " xfId="26"/>
    <cellStyle name="_4.13E Montana Energy Tax_INPUTS" xfId="27"/>
    <cellStyle name="_4.13E Montana Energy Tax_Production Adj 4.37" xfId="28"/>
    <cellStyle name="_4.13E Montana Energy Tax_Purchased Power Adj 4.03" xfId="29"/>
    <cellStyle name="_4.13E Montana Energy Tax_ROR &amp; CONV FACTOR" xfId="30"/>
    <cellStyle name="_4.13E Montana Energy Tax_ROR 5.02" xfId="31"/>
    <cellStyle name="_Book1" xfId="32"/>
    <cellStyle name="_Book1 (2)" xfId="33"/>
    <cellStyle name="_Book1 (2)_04 07E Wild Horse Wind Expansion (C) (2)" xfId="34"/>
    <cellStyle name="_Book1 (2)_04 07E Wild Horse Wind Expansion (C) (2)_JHS-4 through JHS-7 Elec (2009 GRC) " xfId="35"/>
    <cellStyle name="_Book1 (2)_INPUTS" xfId="36"/>
    <cellStyle name="_Book1 (2)_Production Adj 4.37" xfId="37"/>
    <cellStyle name="_Book1 (2)_Purchased Power Adj 4.03" xfId="38"/>
    <cellStyle name="_Book1 (2)_ROR &amp; CONV FACTOR" xfId="39"/>
    <cellStyle name="_Book1 (2)_ROR 5.02" xfId="40"/>
    <cellStyle name="_Book1_Electric COS Inputs" xfId="41"/>
    <cellStyle name="_Book1_Production Adj 4.37" xfId="42"/>
    <cellStyle name="_Book1_Purchased Power Adj 4.03" xfId="43"/>
    <cellStyle name="_Book1_ROR 5.02" xfId="44"/>
    <cellStyle name="_Book2" xfId="45"/>
    <cellStyle name="_Book2_04 07E Wild Horse Wind Expansion (C) (2)" xfId="46"/>
    <cellStyle name="_Book2_04 07E Wild Horse Wind Expansion (C) (2)_JHS-4 through JHS-7 Elec (2009 GRC) " xfId="47"/>
    <cellStyle name="_Book2_INPUTS" xfId="48"/>
    <cellStyle name="_Book2_Production Adj 4.37" xfId="49"/>
    <cellStyle name="_Book2_Purchased Power Adj 4.03" xfId="50"/>
    <cellStyle name="_Book2_ROR &amp; CONV FACTOR" xfId="51"/>
    <cellStyle name="_Book2_ROR 5.02" xfId="52"/>
    <cellStyle name="_Chelan Debt Forecast 12.19.05" xfId="53"/>
    <cellStyle name="_Chelan Debt Forecast 12.19.05_INPUTS" xfId="54"/>
    <cellStyle name="_Chelan Debt Forecast 12.19.05_Production Adj 4.37" xfId="55"/>
    <cellStyle name="_Chelan Debt Forecast 12.19.05_Purchased Power Adj 4.03" xfId="56"/>
    <cellStyle name="_Chelan Debt Forecast 12.19.05_ROR &amp; CONV FACTOR" xfId="57"/>
    <cellStyle name="_Chelan Debt Forecast 12.19.05_ROR 5.02" xfId="58"/>
    <cellStyle name="_Costs not in AURORA 06GRC" xfId="59"/>
    <cellStyle name="_Costs not in AURORA 06GRC_04 07E Wild Horse Wind Expansion (C) (2)" xfId="60"/>
    <cellStyle name="_Costs not in AURORA 06GRC_04 07E Wild Horse Wind Expansion (C) (2)_JHS-4 through JHS-7 Elec (2009 GRC) " xfId="61"/>
    <cellStyle name="_Costs not in AURORA 06GRC_INPUTS" xfId="62"/>
    <cellStyle name="_Costs not in AURORA 06GRC_Production Adj 4.37" xfId="63"/>
    <cellStyle name="_Costs not in AURORA 06GRC_Purchased Power Adj 4.03" xfId="64"/>
    <cellStyle name="_Costs not in AURORA 06GRC_ROR &amp; CONV FACTOR" xfId="65"/>
    <cellStyle name="_Costs not in AURORA 06GRC_ROR 5.02" xfId="66"/>
    <cellStyle name="_Costs not in AURORA 2006GRC 6.15.06" xfId="67"/>
    <cellStyle name="_Costs not in AURORA 2006GRC 6.15.06_04 07E Wild Horse Wind Expansion (C) (2)" xfId="68"/>
    <cellStyle name="_Costs not in AURORA 2006GRC 6.15.06_04 07E Wild Horse Wind Expansion (C) (2)_JHS-4 through JHS-7 Elec (2009 GRC) " xfId="69"/>
    <cellStyle name="_Costs not in AURORA 2006GRC 6.15.06_INPUTS" xfId="70"/>
    <cellStyle name="_Costs not in AURORA 2006GRC 6.15.06_Production Adj 4.37" xfId="71"/>
    <cellStyle name="_Costs not in AURORA 2006GRC 6.15.06_Purchased Power Adj 4.03" xfId="72"/>
    <cellStyle name="_Costs not in AURORA 2006GRC 6.15.06_ROR &amp; CONV FACTOR" xfId="73"/>
    <cellStyle name="_Costs not in AURORA 2006GRC 6.15.06_ROR 5.02" xfId="74"/>
    <cellStyle name="_Costs not in AURORA 2006GRC w gas price updated" xfId="75"/>
    <cellStyle name="_Costs not in AURORA 2006GRC w gas price updated_JHS-4 through JHS-7 Elec (2009 GRC) " xfId="76"/>
    <cellStyle name="_Costs not in AURORA 2007 Rate Case" xfId="77"/>
    <cellStyle name="_Costs not in AURORA 2007 Rate Case_Electric COS Inputs" xfId="78"/>
    <cellStyle name="_Costs not in AURORA 2007 Rate Case_Production Adj 4.37" xfId="79"/>
    <cellStyle name="_Costs not in AURORA 2007 Rate Case_Purchased Power Adj 4.03" xfId="80"/>
    <cellStyle name="_Costs not in AURORA 2007 Rate Case_ROR 5.02" xfId="81"/>
    <cellStyle name="_Costs not in KWI3000 '06Budget" xfId="82"/>
    <cellStyle name="_Costs not in KWI3000 '06Budget_INPUTS" xfId="83"/>
    <cellStyle name="_Costs not in KWI3000 '06Budget_Production Adj 4.37" xfId="84"/>
    <cellStyle name="_Costs not in KWI3000 '06Budget_Purchased Power Adj 4.03" xfId="85"/>
    <cellStyle name="_Costs not in KWI3000 '06Budget_ROR &amp; CONV FACTOR" xfId="86"/>
    <cellStyle name="_Costs not in KWI3000 '06Budget_ROR 5.02" xfId="87"/>
    <cellStyle name="_DEM-WP (C) Power Cost 2006GRC Order" xfId="88"/>
    <cellStyle name="_DEM-WP (C) Power Cost 2006GRC Order_04 07E Wild Horse Wind Expansion (C) (2)" xfId="89"/>
    <cellStyle name="_DEM-WP (C) Power Cost 2006GRC Order_04 07E Wild Horse Wind Expansion (C) (2)_JHS-4 through JHS-7 Elec (2009 GRC) " xfId="90"/>
    <cellStyle name="_DEM-WP (C) Power Cost 2006GRC Order_Electric COS Inputs" xfId="91"/>
    <cellStyle name="_DEM-WP (C) Power Cost 2006GRC Order_Production Adj 4.37" xfId="92"/>
    <cellStyle name="_DEM-WP (C) Power Cost 2006GRC Order_Purchased Power Adj 4.03" xfId="93"/>
    <cellStyle name="_DEM-WP (C) Power Cost 2006GRC Order_ROR 5.02" xfId="94"/>
    <cellStyle name="_DEM-WP Revised (HC) Wild Horse 2006GRC" xfId="95"/>
    <cellStyle name="_DEM-WP Revised (HC) Wild Horse 2006GRC_JHS-4 through JHS-7 Elec (2009 GRC) " xfId="96"/>
    <cellStyle name="_DEM-WP(C) Costs not in AURORA 2006GRC" xfId="97"/>
    <cellStyle name="_DEM-WP(C) Costs not in AURORA 2006GRC_Electric COS Inputs" xfId="98"/>
    <cellStyle name="_DEM-WP(C) Costs not in AURORA 2006GRC_Production Adj 4.37" xfId="99"/>
    <cellStyle name="_DEM-WP(C) Costs not in AURORA 2006GRC_Purchased Power Adj 4.03" xfId="100"/>
    <cellStyle name="_DEM-WP(C) Costs not in AURORA 2006GRC_ROR 5.02" xfId="101"/>
    <cellStyle name="_DEM-WP(C) Costs not in AURORA 2007GRC" xfId="102"/>
    <cellStyle name="_DEM-WP(C) Costs not in AURORA 2007GRC_JHS-4 through JHS-7 Elec (2009 GRC) " xfId="103"/>
    <cellStyle name="_DEM-WP(C) Costs not in AURORA 2007PCORC-5.07Update" xfId="104"/>
    <cellStyle name="_DEM-WP(C) Costs not in AURORA 2007PCORC-5.07Update_JHS-4 through JHS-7 Elec (2009 GRC) " xfId="105"/>
    <cellStyle name="_DEM-WP(C) Sumas Proforma 11.5.07" xfId="106"/>
    <cellStyle name="_DEM-WP(C) Westside Hydro Data_051007" xfId="107"/>
    <cellStyle name="_DEM-WP(C) Westside Hydro Data_051007_JHS-4 through JHS-7 Elec (2009 GRC) " xfId="108"/>
    <cellStyle name="_Fuel Prices 4-14" xfId="109"/>
    <cellStyle name="_Fuel Prices 4-14_04 07E Wild Horse Wind Expansion (C) (2)" xfId="110"/>
    <cellStyle name="_Fuel Prices 4-14_04 07E Wild Horse Wind Expansion (C) (2)_JHS-4 through JHS-7 Elec (2009 GRC) " xfId="111"/>
    <cellStyle name="_Fuel Prices 4-14_Direct Assignment Distribution Plant 2008" xfId="112"/>
    <cellStyle name="_Fuel Prices 4-14_Electric COS Inputs" xfId="113"/>
    <cellStyle name="_Fuel Prices 4-14_Electric Rate Spread and Rate Design 3.23.09" xfId="114"/>
    <cellStyle name="_Fuel Prices 4-14_INPUTS" xfId="115"/>
    <cellStyle name="_Fuel Prices 4-14_Leased Transformer &amp; Substation Plant &amp; Rev 12-2009" xfId="116"/>
    <cellStyle name="_Fuel Prices 4-14_Peak Credit Exhibits for 2009 GRC" xfId="117"/>
    <cellStyle name="_Fuel Prices 4-14_Production Adj 4.37" xfId="118"/>
    <cellStyle name="_Fuel Prices 4-14_Purchased Power Adj 4.03" xfId="119"/>
    <cellStyle name="_Fuel Prices 4-14_Rate Design Sch 24" xfId="120"/>
    <cellStyle name="_Fuel Prices 4-14_Rate Design Sch 25" xfId="121"/>
    <cellStyle name="_Fuel Prices 4-14_Rate Design Sch 26" xfId="122"/>
    <cellStyle name="_Fuel Prices 4-14_Rate Design Sch 31" xfId="123"/>
    <cellStyle name="_Fuel Prices 4-14_Rate Design Sch 43" xfId="124"/>
    <cellStyle name="_Fuel Prices 4-14_Rate Design Sch 448-449" xfId="125"/>
    <cellStyle name="_Fuel Prices 4-14_Rate Design Sch 46" xfId="126"/>
    <cellStyle name="_Fuel Prices 4-14_Rate Spread" xfId="127"/>
    <cellStyle name="_Fuel Prices 4-14_ROR 5.02" xfId="128"/>
    <cellStyle name="_x0013__JHS-4 through JHS-7 Elec (2009 GRC) " xfId="129"/>
    <cellStyle name="_NIM 06 Base Case Current Trends" xfId="130"/>
    <cellStyle name="_NIM 06 Base Case Current Trends_JHS-4 through JHS-7 Elec (2009 GRC) " xfId="131"/>
    <cellStyle name="_Portfolio SPlan Base Case.xls Chart 1" xfId="132"/>
    <cellStyle name="_Portfolio SPlan Base Case.xls Chart 1_JHS-4 through JHS-7 Elec (2009 GRC) " xfId="133"/>
    <cellStyle name="_Portfolio SPlan Base Case.xls Chart 2" xfId="134"/>
    <cellStyle name="_Portfolio SPlan Base Case.xls Chart 2_JHS-4 through JHS-7 Elec (2009 GRC) " xfId="135"/>
    <cellStyle name="_Portfolio SPlan Base Case.xls Chart 3" xfId="136"/>
    <cellStyle name="_Portfolio SPlan Base Case.xls Chart 3_JHS-4 through JHS-7 Elec (2009 GRC) " xfId="137"/>
    <cellStyle name="_Power Cost Value Copy 11.30.05 gas 1.09.06 AURORA at 1.10.06" xfId="138"/>
    <cellStyle name="_Power Cost Value Copy 11.30.05 gas 1.09.06 AURORA at 1.10.06_04 07E Wild Horse Wind Expansion (C) (2)" xfId="139"/>
    <cellStyle name="_Power Cost Value Copy 11.30.05 gas 1.09.06 AURORA at 1.10.06_04 07E Wild Horse Wind Expansion (C) (2)_JHS-4 through JHS-7 Elec (2009 GRC) " xfId="140"/>
    <cellStyle name="_Power Cost Value Copy 11.30.05 gas 1.09.06 AURORA at 1.10.06_Direct Assignment Distribution Plant 2008" xfId="141"/>
    <cellStyle name="_Power Cost Value Copy 11.30.05 gas 1.09.06 AURORA at 1.10.06_Electric COS Inputs" xfId="142"/>
    <cellStyle name="_Power Cost Value Copy 11.30.05 gas 1.09.06 AURORA at 1.10.06_Electric Rate Spread and Rate Design 3.23.09" xfId="143"/>
    <cellStyle name="_Power Cost Value Copy 11.30.05 gas 1.09.06 AURORA at 1.10.06_INPUTS" xfId="144"/>
    <cellStyle name="_Power Cost Value Copy 11.30.05 gas 1.09.06 AURORA at 1.10.06_Leased Transformer &amp; Substation Plant &amp; Rev 12-2009" xfId="145"/>
    <cellStyle name="_Power Cost Value Copy 11.30.05 gas 1.09.06 AURORA at 1.10.06_Production Adj 4.37" xfId="146"/>
    <cellStyle name="_Power Cost Value Copy 11.30.05 gas 1.09.06 AURORA at 1.10.06_Purchased Power Adj 4.03" xfId="147"/>
    <cellStyle name="_Power Cost Value Copy 11.30.05 gas 1.09.06 AURORA at 1.10.06_Rate Design Sch 24" xfId="148"/>
    <cellStyle name="_Power Cost Value Copy 11.30.05 gas 1.09.06 AURORA at 1.10.06_Rate Design Sch 25" xfId="149"/>
    <cellStyle name="_Power Cost Value Copy 11.30.05 gas 1.09.06 AURORA at 1.10.06_Rate Design Sch 26" xfId="150"/>
    <cellStyle name="_Power Cost Value Copy 11.30.05 gas 1.09.06 AURORA at 1.10.06_Rate Design Sch 31" xfId="151"/>
    <cellStyle name="_Power Cost Value Copy 11.30.05 gas 1.09.06 AURORA at 1.10.06_Rate Design Sch 43" xfId="152"/>
    <cellStyle name="_Power Cost Value Copy 11.30.05 gas 1.09.06 AURORA at 1.10.06_Rate Design Sch 448-449" xfId="153"/>
    <cellStyle name="_Power Cost Value Copy 11.30.05 gas 1.09.06 AURORA at 1.10.06_Rate Design Sch 46" xfId="154"/>
    <cellStyle name="_Power Cost Value Copy 11.30.05 gas 1.09.06 AURORA at 1.10.06_Rate Spread" xfId="155"/>
    <cellStyle name="_Power Cost Value Copy 11.30.05 gas 1.09.06 AURORA at 1.10.06_ROR 5.02" xfId="156"/>
    <cellStyle name="_Recon to Darrin's 5.11.05 proforma" xfId="157"/>
    <cellStyle name="_Recon to Darrin's 5.11.05 proforma_INPUTS" xfId="158"/>
    <cellStyle name="_Recon to Darrin's 5.11.05 proforma_Production Adj 4.37" xfId="159"/>
    <cellStyle name="_Recon to Darrin's 5.11.05 proforma_Purchased Power Adj 4.03" xfId="160"/>
    <cellStyle name="_Recon to Darrin's 5.11.05 proforma_ROR &amp; CONV FACTOR" xfId="161"/>
    <cellStyle name="_Recon to Darrin's 5.11.05 proforma_ROR 5.02" xfId="162"/>
    <cellStyle name="_Tenaska Comparison" xfId="163"/>
    <cellStyle name="_Tenaska Comparison_Electric COS Inputs" xfId="164"/>
    <cellStyle name="_Tenaska Comparison_Production Adj 4.37" xfId="165"/>
    <cellStyle name="_Tenaska Comparison_Purchased Power Adj 4.03" xfId="166"/>
    <cellStyle name="_Tenaska Comparison_ROR 5.02" xfId="167"/>
    <cellStyle name="_Value Copy 11 30 05 gas 12 09 05 AURORA at 12 14 05" xfId="168"/>
    <cellStyle name="_Value Copy 11 30 05 gas 12 09 05 AURORA at 12 14 05_04 07E Wild Horse Wind Expansion (C) (2)" xfId="169"/>
    <cellStyle name="_Value Copy 11 30 05 gas 12 09 05 AURORA at 12 14 05_04 07E Wild Horse Wind Expansion (C) (2)_JHS-4 through JHS-7 Elec (2009 GRC) " xfId="170"/>
    <cellStyle name="_Value Copy 11 30 05 gas 12 09 05 AURORA at 12 14 05_Direct Assignment Distribution Plant 2008" xfId="171"/>
    <cellStyle name="_Value Copy 11 30 05 gas 12 09 05 AURORA at 12 14 05_Electric COS Inputs" xfId="172"/>
    <cellStyle name="_Value Copy 11 30 05 gas 12 09 05 AURORA at 12 14 05_Electric Rate Spread and Rate Design 3.23.09" xfId="173"/>
    <cellStyle name="_Value Copy 11 30 05 gas 12 09 05 AURORA at 12 14 05_INPUTS" xfId="174"/>
    <cellStyle name="_Value Copy 11 30 05 gas 12 09 05 AURORA at 12 14 05_Leased Transformer &amp; Substation Plant &amp; Rev 12-2009" xfId="175"/>
    <cellStyle name="_Value Copy 11 30 05 gas 12 09 05 AURORA at 12 14 05_Production Adj 4.37" xfId="176"/>
    <cellStyle name="_Value Copy 11 30 05 gas 12 09 05 AURORA at 12 14 05_Purchased Power Adj 4.03" xfId="177"/>
    <cellStyle name="_Value Copy 11 30 05 gas 12 09 05 AURORA at 12 14 05_Rate Design Sch 24" xfId="178"/>
    <cellStyle name="_Value Copy 11 30 05 gas 12 09 05 AURORA at 12 14 05_Rate Design Sch 25" xfId="179"/>
    <cellStyle name="_Value Copy 11 30 05 gas 12 09 05 AURORA at 12 14 05_Rate Design Sch 26" xfId="180"/>
    <cellStyle name="_Value Copy 11 30 05 gas 12 09 05 AURORA at 12 14 05_Rate Design Sch 31" xfId="181"/>
    <cellStyle name="_Value Copy 11 30 05 gas 12 09 05 AURORA at 12 14 05_Rate Design Sch 43" xfId="182"/>
    <cellStyle name="_Value Copy 11 30 05 gas 12 09 05 AURORA at 12 14 05_Rate Design Sch 448-449" xfId="183"/>
    <cellStyle name="_Value Copy 11 30 05 gas 12 09 05 AURORA at 12 14 05_Rate Design Sch 46" xfId="184"/>
    <cellStyle name="_Value Copy 11 30 05 gas 12 09 05 AURORA at 12 14 05_Rate Spread" xfId="185"/>
    <cellStyle name="_Value Copy 11 30 05 gas 12 09 05 AURORA at 12 14 05_ROR 5.02" xfId="186"/>
    <cellStyle name="_VC 6.15.06 update on 06GRC power costs.xls Chart 1" xfId="187"/>
    <cellStyle name="_VC 6.15.06 update on 06GRC power costs.xls Chart 1_04 07E Wild Horse Wind Expansion (C) (2)" xfId="188"/>
    <cellStyle name="_VC 6.15.06 update on 06GRC power costs.xls Chart 1_04 07E Wild Horse Wind Expansion (C) (2)_JHS-4 through JHS-7 Elec (2009 GRC) " xfId="189"/>
    <cellStyle name="_VC 6.15.06 update on 06GRC power costs.xls Chart 1_INPUTS" xfId="190"/>
    <cellStyle name="_VC 6.15.06 update on 06GRC power costs.xls Chart 1_Production Adj 4.37" xfId="191"/>
    <cellStyle name="_VC 6.15.06 update on 06GRC power costs.xls Chart 1_Purchased Power Adj 4.03" xfId="192"/>
    <cellStyle name="_VC 6.15.06 update on 06GRC power costs.xls Chart 1_ROR &amp; CONV FACTOR" xfId="193"/>
    <cellStyle name="_VC 6.15.06 update on 06GRC power costs.xls Chart 1_ROR 5.02" xfId="194"/>
    <cellStyle name="_VC 6.15.06 update on 06GRC power costs.xls Chart 2" xfId="195"/>
    <cellStyle name="_VC 6.15.06 update on 06GRC power costs.xls Chart 2_04 07E Wild Horse Wind Expansion (C) (2)" xfId="196"/>
    <cellStyle name="_VC 6.15.06 update on 06GRC power costs.xls Chart 2_04 07E Wild Horse Wind Expansion (C) (2)_JHS-4 through JHS-7 Elec (2009 GRC) " xfId="197"/>
    <cellStyle name="_VC 6.15.06 update on 06GRC power costs.xls Chart 2_INPUTS" xfId="198"/>
    <cellStyle name="_VC 6.15.06 update on 06GRC power costs.xls Chart 2_Production Adj 4.37" xfId="199"/>
    <cellStyle name="_VC 6.15.06 update on 06GRC power costs.xls Chart 2_Purchased Power Adj 4.03" xfId="200"/>
    <cellStyle name="_VC 6.15.06 update on 06GRC power costs.xls Chart 2_ROR &amp; CONV FACTOR" xfId="201"/>
    <cellStyle name="_VC 6.15.06 update on 06GRC power costs.xls Chart 2_ROR 5.02" xfId="202"/>
    <cellStyle name="_VC 6.15.06 update on 06GRC power costs.xls Chart 3" xfId="203"/>
    <cellStyle name="_VC 6.15.06 update on 06GRC power costs.xls Chart 3_04 07E Wild Horse Wind Expansion (C) (2)" xfId="204"/>
    <cellStyle name="_VC 6.15.06 update on 06GRC power costs.xls Chart 3_04 07E Wild Horse Wind Expansion (C) (2)_JHS-4 through JHS-7 Elec (2009 GRC) " xfId="205"/>
    <cellStyle name="_VC 6.15.06 update on 06GRC power costs.xls Chart 3_INPUTS" xfId="206"/>
    <cellStyle name="_VC 6.15.06 update on 06GRC power costs.xls Chart 3_Production Adj 4.37" xfId="207"/>
    <cellStyle name="_VC 6.15.06 update on 06GRC power costs.xls Chart 3_Purchased Power Adj 4.03" xfId="208"/>
    <cellStyle name="_VC 6.15.06 update on 06GRC power costs.xls Chart 3_ROR &amp; CONV FACTOR" xfId="209"/>
    <cellStyle name="_VC 6.15.06 update on 06GRC power costs.xls Chart 3_ROR 5.02" xfId="210"/>
    <cellStyle name="0,0&#13;&#10;NA&#13;&#10;" xfId="211"/>
    <cellStyle name="20% - Accent1" xfId="212"/>
    <cellStyle name="20% - Accent1 2" xfId="213"/>
    <cellStyle name="20% - Accent1 3" xfId="214"/>
    <cellStyle name="20% - Accent2" xfId="215"/>
    <cellStyle name="20% - Accent2 2" xfId="216"/>
    <cellStyle name="20% - Accent2 3" xfId="217"/>
    <cellStyle name="20% - Accent3" xfId="218"/>
    <cellStyle name="20% - Accent3 2" xfId="219"/>
    <cellStyle name="20% - Accent3 3" xfId="220"/>
    <cellStyle name="20% - Accent4" xfId="221"/>
    <cellStyle name="20% - Accent4 2" xfId="222"/>
    <cellStyle name="20% - Accent4 3" xfId="223"/>
    <cellStyle name="20% - Accent5" xfId="224"/>
    <cellStyle name="20% - Accent5 2" xfId="225"/>
    <cellStyle name="20% - Accent5 3" xfId="226"/>
    <cellStyle name="20% - Accent6" xfId="227"/>
    <cellStyle name="20% - Accent6 2" xfId="228"/>
    <cellStyle name="20% - Accent6 3" xfId="229"/>
    <cellStyle name="40% - Accent1" xfId="230"/>
    <cellStyle name="40% - Accent1 2" xfId="231"/>
    <cellStyle name="40% - Accent1 3" xfId="232"/>
    <cellStyle name="40% - Accent2" xfId="233"/>
    <cellStyle name="40% - Accent2 2" xfId="234"/>
    <cellStyle name="40% - Accent2 3" xfId="235"/>
    <cellStyle name="40% - Accent3" xfId="236"/>
    <cellStyle name="40% - Accent3 2" xfId="237"/>
    <cellStyle name="40% - Accent3 3" xfId="238"/>
    <cellStyle name="40% - Accent4" xfId="239"/>
    <cellStyle name="40% - Accent4 2" xfId="240"/>
    <cellStyle name="40% - Accent4 3" xfId="241"/>
    <cellStyle name="40% - Accent5" xfId="242"/>
    <cellStyle name="40% - Accent5 2" xfId="243"/>
    <cellStyle name="40% - Accent5 3" xfId="244"/>
    <cellStyle name="40% - Accent6" xfId="245"/>
    <cellStyle name="40% - Accent6 2" xfId="246"/>
    <cellStyle name="40% - Accent6 3" xfId="247"/>
    <cellStyle name="60% - Accent1" xfId="248"/>
    <cellStyle name="60% - Accent2" xfId="249"/>
    <cellStyle name="60% - Accent3" xfId="250"/>
    <cellStyle name="60% - Accent4" xfId="251"/>
    <cellStyle name="60% - Accent5" xfId="252"/>
    <cellStyle name="60% - Accent6" xfId="253"/>
    <cellStyle name="Accent1" xfId="254"/>
    <cellStyle name="Accent2" xfId="255"/>
    <cellStyle name="Accent3" xfId="256"/>
    <cellStyle name="Accent4" xfId="257"/>
    <cellStyle name="Accent5" xfId="258"/>
    <cellStyle name="Accent6" xfId="259"/>
    <cellStyle name="Bad" xfId="260"/>
    <cellStyle name="Calc Currency (0)" xfId="261"/>
    <cellStyle name="Calculation" xfId="262"/>
    <cellStyle name="Check Cell" xfId="263"/>
    <cellStyle name="CheckCell" xfId="264"/>
    <cellStyle name="Comma" xfId="265"/>
    <cellStyle name="Comma [0]" xfId="266"/>
    <cellStyle name="Comma 2" xfId="267"/>
    <cellStyle name="Comma 2 2" xfId="268"/>
    <cellStyle name="Comma 3" xfId="269"/>
    <cellStyle name="Comma 4" xfId="270"/>
    <cellStyle name="Comma 5" xfId="271"/>
    <cellStyle name="Comma 6" xfId="272"/>
    <cellStyle name="Comma 7" xfId="273"/>
    <cellStyle name="Comma 8" xfId="274"/>
    <cellStyle name="Comma_4.05 Exhibit A-2 " xfId="275"/>
    <cellStyle name="Comma_Book2" xfId="276"/>
    <cellStyle name="Comma_JHS Rebuttal Exhs 11-14 internal" xfId="277"/>
    <cellStyle name="Comma_PCA Adj Agrmt Exhibit A3" xfId="278"/>
    <cellStyle name="Comma0" xfId="279"/>
    <cellStyle name="Comma0 - Style2" xfId="280"/>
    <cellStyle name="Comma0 - Style4" xfId="281"/>
    <cellStyle name="Comma0 - Style5" xfId="282"/>
    <cellStyle name="Comma0 2" xfId="283"/>
    <cellStyle name="Comma0 3" xfId="284"/>
    <cellStyle name="Comma0 4" xfId="285"/>
    <cellStyle name="Comma0_00COS Ind Allocators" xfId="286"/>
    <cellStyle name="Comma1 - Style1" xfId="287"/>
    <cellStyle name="Copied" xfId="288"/>
    <cellStyle name="COST1" xfId="289"/>
    <cellStyle name="Curren - Style1" xfId="290"/>
    <cellStyle name="Curren - Style2" xfId="291"/>
    <cellStyle name="Curren - Style5" xfId="292"/>
    <cellStyle name="Curren - Style6" xfId="293"/>
    <cellStyle name="Currency" xfId="294"/>
    <cellStyle name="Currency [0]" xfId="295"/>
    <cellStyle name="Currency 2" xfId="296"/>
    <cellStyle name="Currency 3" xfId="297"/>
    <cellStyle name="Currency 4" xfId="298"/>
    <cellStyle name="Currency 5" xfId="299"/>
    <cellStyle name="Currency 6" xfId="300"/>
    <cellStyle name="Currency 7" xfId="301"/>
    <cellStyle name="Currency 8" xfId="302"/>
    <cellStyle name="Currency_4.05 Exhibit A-2 " xfId="303"/>
    <cellStyle name="Currency_Book2" xfId="304"/>
    <cellStyle name="Currency_JHS Rebuttal Exhs 11-14 internal" xfId="305"/>
    <cellStyle name="Currency_PCA Adj Agrmt Exhibit A3" xfId="306"/>
    <cellStyle name="Currency0" xfId="307"/>
    <cellStyle name="Date" xfId="308"/>
    <cellStyle name="Date 2" xfId="309"/>
    <cellStyle name="Date 3" xfId="310"/>
    <cellStyle name="Date 4" xfId="311"/>
    <cellStyle name="Date_903 SAP 2-6-09" xfId="312"/>
    <cellStyle name="Entered" xfId="313"/>
    <cellStyle name="Explanatory Text" xfId="314"/>
    <cellStyle name="Fixed" xfId="315"/>
    <cellStyle name="Fixed3 - Style3" xfId="316"/>
    <cellStyle name="Followed Hyperlink" xfId="317"/>
    <cellStyle name="Good" xfId="318"/>
    <cellStyle name="Grey" xfId="319"/>
    <cellStyle name="Grey 2" xfId="320"/>
    <cellStyle name="Grey 3" xfId="321"/>
    <cellStyle name="Grey 4" xfId="322"/>
    <cellStyle name="Grey_Direct Assignment Distribution Plant 2008" xfId="323"/>
    <cellStyle name="Header1" xfId="324"/>
    <cellStyle name="Header2" xfId="325"/>
    <cellStyle name="Heading 1" xfId="326"/>
    <cellStyle name="Heading 2" xfId="327"/>
    <cellStyle name="Heading 3" xfId="328"/>
    <cellStyle name="Heading 4" xfId="329"/>
    <cellStyle name="Heading1" xfId="330"/>
    <cellStyle name="Heading2" xfId="331"/>
    <cellStyle name="Hyperlink" xfId="332"/>
    <cellStyle name="Input" xfId="333"/>
    <cellStyle name="Input [yellow]" xfId="334"/>
    <cellStyle name="Input [yellow] 2" xfId="335"/>
    <cellStyle name="Input [yellow] 3" xfId="336"/>
    <cellStyle name="Input [yellow] 4" xfId="337"/>
    <cellStyle name="Input [yellow]_Direct Assignment Distribution Plant 2008" xfId="338"/>
    <cellStyle name="Input Cells" xfId="339"/>
    <cellStyle name="Input Cells Percent" xfId="340"/>
    <cellStyle name="Lines" xfId="341"/>
    <cellStyle name="LINKED" xfId="342"/>
    <cellStyle name="Linked Cell" xfId="343"/>
    <cellStyle name="modified border" xfId="344"/>
    <cellStyle name="modified border 2" xfId="345"/>
    <cellStyle name="modified border 3" xfId="346"/>
    <cellStyle name="modified border 4" xfId="347"/>
    <cellStyle name="modified border1" xfId="348"/>
    <cellStyle name="modified border1 2" xfId="349"/>
    <cellStyle name="modified border1 3" xfId="350"/>
    <cellStyle name="modified border1 4" xfId="351"/>
    <cellStyle name="Neutral" xfId="352"/>
    <cellStyle name="no dec" xfId="353"/>
    <cellStyle name="Normal - Style1" xfId="354"/>
    <cellStyle name="Normal - Style1 2" xfId="355"/>
    <cellStyle name="Normal - Style1 3" xfId="356"/>
    <cellStyle name="Normal - Style1 4" xfId="357"/>
    <cellStyle name="Normal - Style1_903 SAP 2-6-09" xfId="358"/>
    <cellStyle name="Normal 2" xfId="359"/>
    <cellStyle name="Normal 2 2" xfId="360"/>
    <cellStyle name="Normal 2 2 2" xfId="361"/>
    <cellStyle name="Normal 2 2 3" xfId="362"/>
    <cellStyle name="Normal 2 2_4.14E Miscellaneous Operating Expense working file" xfId="363"/>
    <cellStyle name="Normal 2 3" xfId="364"/>
    <cellStyle name="Normal 2 4" xfId="365"/>
    <cellStyle name="Normal 2 5" xfId="366"/>
    <cellStyle name="Normal 2 6" xfId="367"/>
    <cellStyle name="Normal 2_GRC 2009 Load Research Rate Schedule Statistics - v2 2-26-2009" xfId="368"/>
    <cellStyle name="Normal 3" xfId="369"/>
    <cellStyle name="Normal 3 2" xfId="370"/>
    <cellStyle name="Normal 3 3" xfId="371"/>
    <cellStyle name="Normal 4" xfId="372"/>
    <cellStyle name="Normal 5" xfId="373"/>
    <cellStyle name="Normal 6" xfId="374"/>
    <cellStyle name="Normal 7" xfId="375"/>
    <cellStyle name="Normal 8" xfId="376"/>
    <cellStyle name="Normal 9" xfId="377"/>
    <cellStyle name="Normal_4.05 Exhibit A-2 " xfId="378"/>
    <cellStyle name="Normal_CopyOfBook1_1" xfId="379"/>
    <cellStyle name="Normal_JHS Rebuttal Exhs 11-14 internal" xfId="380"/>
    <cellStyle name="Normal_PCA Adj Agrmt Exhibit A3" xfId="381"/>
    <cellStyle name="Note" xfId="382"/>
    <cellStyle name="Note 10" xfId="383"/>
    <cellStyle name="Note 11" xfId="384"/>
    <cellStyle name="Note 2" xfId="385"/>
    <cellStyle name="Note 3" xfId="386"/>
    <cellStyle name="Note 4" xfId="387"/>
    <cellStyle name="Note 5" xfId="388"/>
    <cellStyle name="Note 6" xfId="389"/>
    <cellStyle name="Note 7" xfId="390"/>
    <cellStyle name="Note 8" xfId="391"/>
    <cellStyle name="Note 9" xfId="392"/>
    <cellStyle name="Output" xfId="393"/>
    <cellStyle name="Percen - Style1" xfId="394"/>
    <cellStyle name="Percen - Style2" xfId="395"/>
    <cellStyle name="Percen - Style3" xfId="396"/>
    <cellStyle name="Percent" xfId="397"/>
    <cellStyle name="Percent [2]" xfId="398"/>
    <cellStyle name="Percent 2" xfId="399"/>
    <cellStyle name="Percent 3" xfId="400"/>
    <cellStyle name="Percent 4" xfId="401"/>
    <cellStyle name="Percent 5" xfId="402"/>
    <cellStyle name="Percent 6" xfId="403"/>
    <cellStyle name="Processing" xfId="404"/>
    <cellStyle name="PSChar" xfId="405"/>
    <cellStyle name="PSDate" xfId="406"/>
    <cellStyle name="PSDec" xfId="407"/>
    <cellStyle name="PSHeading" xfId="408"/>
    <cellStyle name="PSInt" xfId="409"/>
    <cellStyle name="PSSpacer" xfId="410"/>
    <cellStyle name="purple - Style8" xfId="411"/>
    <cellStyle name="RED" xfId="412"/>
    <cellStyle name="Red - Style7" xfId="413"/>
    <cellStyle name="RED_04 07E Wild Horse Wind Expansion (C) (2)" xfId="414"/>
    <cellStyle name="Report" xfId="415"/>
    <cellStyle name="Report Bar" xfId="416"/>
    <cellStyle name="Report Heading" xfId="417"/>
    <cellStyle name="Report Percent" xfId="418"/>
    <cellStyle name="Report Unit Cost" xfId="419"/>
    <cellStyle name="Report_JHS-4 through JHS-7 Elec (2009 GRC) " xfId="420"/>
    <cellStyle name="Reports" xfId="421"/>
    <cellStyle name="Reports Total" xfId="422"/>
    <cellStyle name="Reports Unit Cost Total" xfId="423"/>
    <cellStyle name="Reports_JHS-4 through JHS-7 Elec (2009 GRC) " xfId="424"/>
    <cellStyle name="RevList" xfId="425"/>
    <cellStyle name="round100" xfId="426"/>
    <cellStyle name="SAPBEXaggData" xfId="427"/>
    <cellStyle name="SAPBEXaggItem" xfId="428"/>
    <cellStyle name="SAPBEXchaText" xfId="429"/>
    <cellStyle name="SAPBEXfilterDrill" xfId="430"/>
    <cellStyle name="SAPBEXfilterItem" xfId="431"/>
    <cellStyle name="SAPBEXheaderItem" xfId="432"/>
    <cellStyle name="SAPBEXheaderText" xfId="433"/>
    <cellStyle name="SAPBEXHLevel0X" xfId="434"/>
    <cellStyle name="SAPBEXstdData" xfId="435"/>
    <cellStyle name="SAPBEXstdItem" xfId="436"/>
    <cellStyle name="SAPBEXstdItemX" xfId="437"/>
    <cellStyle name="SAPBEXtitle" xfId="438"/>
    <cellStyle name="shade" xfId="439"/>
    <cellStyle name="StmtTtl1" xfId="440"/>
    <cellStyle name="StmtTtl1 2" xfId="441"/>
    <cellStyle name="StmtTtl1 3" xfId="442"/>
    <cellStyle name="StmtTtl1 4" xfId="443"/>
    <cellStyle name="StmtTtl1_Direct Assignment Distribution Plant 2008" xfId="444"/>
    <cellStyle name="StmtTtl2" xfId="445"/>
    <cellStyle name="STYL1 - Style1" xfId="446"/>
    <cellStyle name="Style 1" xfId="447"/>
    <cellStyle name="Style 1 2" xfId="448"/>
    <cellStyle name="Style 1 3" xfId="449"/>
    <cellStyle name="Style 1 4" xfId="450"/>
    <cellStyle name="Style 1_4.14E Miscellaneous Operating Expense working file" xfId="451"/>
    <cellStyle name="Subtotal" xfId="452"/>
    <cellStyle name="Sub-total" xfId="453"/>
    <cellStyle name="Title" xfId="454"/>
    <cellStyle name="Title: Major" xfId="455"/>
    <cellStyle name="Title: Minor" xfId="456"/>
    <cellStyle name="Title: Worksheet" xfId="457"/>
    <cellStyle name="Total" xfId="458"/>
    <cellStyle name="Total4 - Style4" xfId="459"/>
    <cellStyle name="Warning Text" xfId="460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2057400</xdr:colOff>
      <xdr:row>81</xdr:row>
      <xdr:rowOff>0</xdr:rowOff>
    </xdr:from>
    <xdr:to>
      <xdr:col>2</xdr:col>
      <xdr:colOff>2057400</xdr:colOff>
      <xdr:row>81</xdr:row>
      <xdr:rowOff>0</xdr:rowOff>
    </xdr:to>
    <xdr:sp>
      <xdr:nvSpPr>
        <xdr:cNvPr id="1" name="Line 2"/>
        <xdr:cNvSpPr>
          <a:spLocks/>
        </xdr:cNvSpPr>
      </xdr:nvSpPr>
      <xdr:spPr>
        <a:xfrm flipH="1">
          <a:off x="3362325" y="13411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st%20Accounting\Resource%20Costs\QF\QF%20Nooksack\Nooksack_wboo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#%202009%20GRC\OriginalFiling2009GRC\Models&amp;Adjs2009GRCOrig\Electronic%20Files%20to%20be%20sent%20to%20WUTC%20-%20orig.%20filing\JHS-4%20through%20JHS-7%20Elec%20(2009%20GRC)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_1"/>
      <sheetName val="Sheet1"/>
      <sheetName val="Tab_1 strat plan 05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.01 - 5.03"/>
      <sheetName val="4A-4E"/>
      <sheetName val="Summary"/>
      <sheetName val="JHS-6 Unit Cost"/>
      <sheetName val="JHS-7 Ex A-1"/>
      <sheetName val="Reconciliaton "/>
      <sheetName val="JHS-7 Ex A-2"/>
      <sheetName val="JHS-7 Ex A-3 Colstrip"/>
      <sheetName val="JHS-7 Ex A-4 Prod Adj"/>
      <sheetName val="JHS-7 Ex A-5 PC"/>
      <sheetName val="JHS-7 Exhibit D"/>
      <sheetName val="MF-RevReq"/>
      <sheetName val="WH-RevReq"/>
      <sheetName val="JHS-6 Unit Cost (Old)"/>
      <sheetName val="PCA Dfcncy"/>
      <sheetName val="Restated TY"/>
      <sheetName val="08-09"/>
      <sheetName val="P Tax 08-09"/>
      <sheetName val="557"/>
      <sheetName val="Production Adjustment"/>
      <sheetName val="Production Factor"/>
      <sheetName val="Production Plant Premiums"/>
      <sheetName val="Prod Plant"/>
      <sheetName val="Pwr Csts"/>
      <sheetName val="DEM RY PC"/>
      <sheetName val="Proforma Revenue"/>
      <sheetName val="Compare A-1"/>
      <sheetName val="Prodn OM09GRC"/>
      <sheetName val="Verify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>
        <row r="20">
          <cell r="GH20">
            <v>0.35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2"/>
  <sheetViews>
    <sheetView zoomScale="88" zoomScaleNormal="88" zoomScalePageLayoutView="0" workbookViewId="0" topLeftCell="A18">
      <pane xSplit="1" topLeftCell="B1" activePane="topRight" state="frozen"/>
      <selection pane="topLeft" activeCell="T148" sqref="T148"/>
      <selection pane="topRight" activeCell="A4" sqref="A4:H50"/>
    </sheetView>
  </sheetViews>
  <sheetFormatPr defaultColWidth="8.16015625" defaultRowHeight="10.5"/>
  <cols>
    <col min="1" max="1" width="9.33203125" style="6" bestFit="1" customWidth="1"/>
    <col min="2" max="2" width="39.16015625" style="3" customWidth="1"/>
    <col min="3" max="3" width="29.33203125" style="3" customWidth="1"/>
    <col min="4" max="4" width="20" style="3" customWidth="1"/>
    <col min="5" max="5" width="12.83203125" style="3" customWidth="1"/>
    <col min="6" max="7" width="3.66015625" style="3" customWidth="1"/>
    <col min="8" max="8" width="16.16015625" style="76" customWidth="1"/>
    <col min="9" max="9" width="18.83203125" style="0" bestFit="1" customWidth="1"/>
    <col min="10" max="10" width="4.5" style="3" customWidth="1"/>
    <col min="11" max="11" width="35" style="3" bestFit="1" customWidth="1"/>
    <col min="12" max="12" width="18.66015625" style="3" customWidth="1"/>
    <col min="13" max="13" width="11.5" style="3" customWidth="1"/>
    <col min="14" max="14" width="9.33203125" style="3" customWidth="1"/>
    <col min="15" max="15" width="35.33203125" style="3" customWidth="1"/>
    <col min="16" max="16" width="17.5" style="3" customWidth="1"/>
    <col min="17" max="17" width="18.33203125" style="3" bestFit="1" customWidth="1"/>
    <col min="18" max="18" width="18.16015625" style="3" bestFit="1" customWidth="1"/>
    <col min="19" max="19" width="18.66015625" style="3" bestFit="1" customWidth="1"/>
    <col min="20" max="20" width="17" style="3" bestFit="1" customWidth="1"/>
    <col min="21" max="16384" width="8.16015625" style="3" customWidth="1"/>
  </cols>
  <sheetData>
    <row r="1" spans="1:8" ht="12.75">
      <c r="A1" s="2"/>
      <c r="H1" s="4"/>
    </row>
    <row r="2" spans="1:8" ht="12.75">
      <c r="A2" s="2"/>
      <c r="H2" s="5"/>
    </row>
    <row r="3" ht="12.75">
      <c r="H3" s="7"/>
    </row>
    <row r="4" spans="2:8" ht="18">
      <c r="B4" s="8" t="s">
        <v>0</v>
      </c>
      <c r="C4" s="6"/>
      <c r="D4" s="6"/>
      <c r="E4" s="435"/>
      <c r="F4" s="435"/>
      <c r="G4" s="435"/>
      <c r="H4" s="7"/>
    </row>
    <row r="5" spans="1:8" ht="12.75">
      <c r="A5" s="6" t="s">
        <v>1</v>
      </c>
      <c r="B5" s="10"/>
      <c r="C5" s="6"/>
      <c r="D5" s="11" t="s">
        <v>2</v>
      </c>
      <c r="E5" s="9"/>
      <c r="F5" s="9"/>
      <c r="G5" s="9"/>
      <c r="H5" s="12"/>
    </row>
    <row r="6" spans="1:10" ht="12.75">
      <c r="A6" s="6">
        <v>3</v>
      </c>
      <c r="B6" s="13" t="s">
        <v>3</v>
      </c>
      <c r="C6" s="14"/>
      <c r="D6" s="15">
        <v>131073241.06911373</v>
      </c>
      <c r="E6" s="16"/>
      <c r="F6" s="16"/>
      <c r="G6" s="16"/>
      <c r="H6" s="17"/>
      <c r="J6" s="18"/>
    </row>
    <row r="7" spans="1:10" ht="12.75">
      <c r="A7" s="6">
        <v>4</v>
      </c>
      <c r="B7" s="13" t="s">
        <v>4</v>
      </c>
      <c r="C7" s="6"/>
      <c r="D7" s="19">
        <f>'JHS-7 Ex A-2'!E54</f>
        <v>102337939.79583335</v>
      </c>
      <c r="E7" s="16"/>
      <c r="F7" s="16"/>
      <c r="G7" s="16"/>
      <c r="H7" s="17"/>
      <c r="J7" s="18"/>
    </row>
    <row r="8" spans="1:10" ht="12.75">
      <c r="A8" s="6">
        <v>5</v>
      </c>
      <c r="B8" s="13" t="s">
        <v>5</v>
      </c>
      <c r="C8" s="6"/>
      <c r="D8" s="20">
        <v>1426402440.2315989</v>
      </c>
      <c r="E8" s="16"/>
      <c r="F8" s="16"/>
      <c r="G8" s="16"/>
      <c r="H8" s="17"/>
      <c r="J8" s="18"/>
    </row>
    <row r="9" spans="1:10" ht="12.75">
      <c r="A9" s="6">
        <v>6</v>
      </c>
      <c r="D9" s="21">
        <f>SUM(D6:D8)</f>
        <v>1659813621.096546</v>
      </c>
      <c r="E9" s="16"/>
      <c r="F9" s="16"/>
      <c r="G9" s="16"/>
      <c r="H9" s="22" t="s">
        <v>6</v>
      </c>
      <c r="J9" s="18"/>
    </row>
    <row r="10" spans="1:10" ht="12.75">
      <c r="A10" s="6">
        <v>7</v>
      </c>
      <c r="B10" s="13" t="s">
        <v>7</v>
      </c>
      <c r="C10" s="6"/>
      <c r="D10" s="23">
        <v>0.0738</v>
      </c>
      <c r="E10" s="24"/>
      <c r="F10" s="16"/>
      <c r="G10" s="16"/>
      <c r="H10" s="22" t="s">
        <v>8</v>
      </c>
      <c r="J10" s="18"/>
    </row>
    <row r="11" spans="1:10" ht="12.75">
      <c r="A11" s="6">
        <v>8</v>
      </c>
      <c r="B11" s="13"/>
      <c r="C11" s="6"/>
      <c r="D11" s="17"/>
      <c r="E11" s="14" t="s">
        <v>9</v>
      </c>
      <c r="F11" s="16"/>
      <c r="G11" s="16"/>
      <c r="H11" s="25">
        <v>0.97259</v>
      </c>
      <c r="J11" s="18"/>
    </row>
    <row r="12" spans="1:18" ht="12.75">
      <c r="A12" s="6">
        <v>9</v>
      </c>
      <c r="D12" s="17"/>
      <c r="E12" s="26" t="s">
        <v>10</v>
      </c>
      <c r="F12" s="27"/>
      <c r="G12" s="27"/>
      <c r="H12" s="28" t="s">
        <v>11</v>
      </c>
      <c r="J12" s="18"/>
      <c r="K12" s="29"/>
      <c r="L12" s="30"/>
      <c r="M12" s="30"/>
      <c r="N12" s="30"/>
      <c r="R12" s="29"/>
    </row>
    <row r="13" spans="1:20" ht="12.75">
      <c r="A13" s="6">
        <v>10</v>
      </c>
      <c r="B13" s="13" t="s">
        <v>12</v>
      </c>
      <c r="D13" s="15">
        <f>(D6*D10)/0.65</f>
        <v>14881854.139847066</v>
      </c>
      <c r="E13" s="31">
        <f aca="true" t="shared" si="0" ref="E13:E36">ROUND(D13/$D$40,3)</f>
        <v>0.686</v>
      </c>
      <c r="F13" s="27"/>
      <c r="G13" s="27" t="s">
        <v>13</v>
      </c>
      <c r="H13" s="17"/>
      <c r="J13" s="18"/>
      <c r="K13" s="32"/>
      <c r="L13" s="33"/>
      <c r="M13" s="34"/>
      <c r="N13" s="30"/>
      <c r="R13" s="30"/>
      <c r="S13" s="15"/>
      <c r="T13" s="35"/>
    </row>
    <row r="14" spans="1:20" ht="12.75">
      <c r="A14" s="6">
        <v>11</v>
      </c>
      <c r="B14" s="3" t="s">
        <v>14</v>
      </c>
      <c r="D14" s="36">
        <f>(D7*D10)/0.65</f>
        <v>11619292.241434617</v>
      </c>
      <c r="E14" s="31">
        <f t="shared" si="0"/>
        <v>0.535</v>
      </c>
      <c r="F14" s="27" t="s">
        <v>15</v>
      </c>
      <c r="G14" s="27"/>
      <c r="H14" s="17">
        <f>D14</f>
        <v>11619292.241434617</v>
      </c>
      <c r="J14" s="18"/>
      <c r="K14" s="32"/>
      <c r="L14" s="33"/>
      <c r="M14" s="30"/>
      <c r="N14" s="37"/>
      <c r="R14" s="30"/>
      <c r="S14" s="36"/>
      <c r="T14" s="35"/>
    </row>
    <row r="15" spans="1:20" ht="12.75">
      <c r="A15" s="6">
        <v>12</v>
      </c>
      <c r="B15" s="3" t="s">
        <v>16</v>
      </c>
      <c r="D15" s="36">
        <f>(D8*D10)/0.65</f>
        <v>161951538.59860307</v>
      </c>
      <c r="E15" s="31">
        <f t="shared" si="0"/>
        <v>7.462</v>
      </c>
      <c r="F15" s="27" t="s">
        <v>15</v>
      </c>
      <c r="G15" s="27"/>
      <c r="H15" s="17">
        <f>D15/$H$11</f>
        <v>166515734.8919926</v>
      </c>
      <c r="J15" s="18"/>
      <c r="K15" s="32"/>
      <c r="L15" s="33"/>
      <c r="M15" s="30"/>
      <c r="N15" s="37"/>
      <c r="R15" s="30"/>
      <c r="S15" s="36"/>
      <c r="T15" s="35"/>
    </row>
    <row r="16" spans="1:9" ht="12.75">
      <c r="A16" s="6">
        <v>13</v>
      </c>
      <c r="B16" s="27" t="s">
        <v>17</v>
      </c>
      <c r="D16" s="17">
        <v>81291979.29600994</v>
      </c>
      <c r="E16" s="31">
        <f t="shared" si="0"/>
        <v>3.746</v>
      </c>
      <c r="F16" s="27"/>
      <c r="G16" s="27" t="s">
        <v>13</v>
      </c>
      <c r="H16" s="17"/>
      <c r="I16" s="38"/>
    </row>
    <row r="17" spans="1:9" ht="12.75">
      <c r="A17" s="6">
        <v>14</v>
      </c>
      <c r="B17" s="37" t="s">
        <v>18</v>
      </c>
      <c r="C17" s="30"/>
      <c r="D17" s="39">
        <v>655339688.242635</v>
      </c>
      <c r="E17" s="31">
        <f t="shared" si="0"/>
        <v>30.197</v>
      </c>
      <c r="F17" s="27"/>
      <c r="G17" s="27" t="s">
        <v>13</v>
      </c>
      <c r="H17" s="17"/>
      <c r="I17" s="38"/>
    </row>
    <row r="18" spans="1:8" ht="12.75">
      <c r="A18" s="6" t="s">
        <v>19</v>
      </c>
      <c r="B18" s="37" t="s">
        <v>20</v>
      </c>
      <c r="C18" s="30"/>
      <c r="D18" s="39">
        <v>-5622297.8488170095</v>
      </c>
      <c r="E18" s="31">
        <f t="shared" si="0"/>
        <v>-0.259</v>
      </c>
      <c r="F18" s="27"/>
      <c r="G18" s="27" t="s">
        <v>13</v>
      </c>
      <c r="H18" s="17"/>
    </row>
    <row r="19" spans="1:8" ht="12.75">
      <c r="A19" s="6">
        <v>15</v>
      </c>
      <c r="B19" s="37" t="s">
        <v>21</v>
      </c>
      <c r="C19" s="30"/>
      <c r="D19" s="39">
        <v>6510797.789615702</v>
      </c>
      <c r="E19" s="31">
        <f t="shared" si="0"/>
        <v>0.3</v>
      </c>
      <c r="F19" s="27" t="s">
        <v>15</v>
      </c>
      <c r="G19" s="27"/>
      <c r="H19" s="17">
        <f>D19/$H$11</f>
        <v>6694288.230000002</v>
      </c>
    </row>
    <row r="20" spans="1:8" ht="12.75">
      <c r="A20" s="6" t="s">
        <v>22</v>
      </c>
      <c r="B20" s="40" t="s">
        <v>23</v>
      </c>
      <c r="C20" s="30"/>
      <c r="D20" s="36">
        <v>3679261.5192585923</v>
      </c>
      <c r="E20" s="31">
        <f t="shared" si="0"/>
        <v>0.17</v>
      </c>
      <c r="F20" s="27" t="s">
        <v>15</v>
      </c>
      <c r="G20" s="27"/>
      <c r="H20" s="17">
        <f>D20/$H$11</f>
        <v>3782952.240161417</v>
      </c>
    </row>
    <row r="21" spans="1:8" ht="12.75">
      <c r="A21" s="6" t="s">
        <v>24</v>
      </c>
      <c r="B21" s="40" t="s">
        <v>25</v>
      </c>
      <c r="C21" s="30"/>
      <c r="D21" s="36">
        <v>3371426.491599737</v>
      </c>
      <c r="E21" s="31">
        <f t="shared" si="0"/>
        <v>0.155</v>
      </c>
      <c r="F21" s="27" t="s">
        <v>15</v>
      </c>
      <c r="G21" s="27"/>
      <c r="H21" s="17">
        <f>D21/$H$11</f>
        <v>3466441.6574298907</v>
      </c>
    </row>
    <row r="22" spans="1:8" ht="12.75">
      <c r="A22" s="6" t="s">
        <v>26</v>
      </c>
      <c r="B22" s="40" t="s">
        <v>27</v>
      </c>
      <c r="C22" s="30"/>
      <c r="D22" s="36">
        <v>1688936.4461496412</v>
      </c>
      <c r="E22" s="31">
        <f t="shared" si="0"/>
        <v>0.078</v>
      </c>
      <c r="F22" s="27" t="s">
        <v>15</v>
      </c>
      <c r="G22" s="27"/>
      <c r="H22" s="17">
        <f>D22/$H$11</f>
        <v>1736534.8668499996</v>
      </c>
    </row>
    <row r="23" spans="1:8" ht="12.75">
      <c r="A23" s="6" t="s">
        <v>28</v>
      </c>
      <c r="B23" s="40" t="s">
        <v>29</v>
      </c>
      <c r="C23" s="30"/>
      <c r="D23" s="36">
        <v>1552411.601647247</v>
      </c>
      <c r="E23" s="31">
        <f t="shared" si="0"/>
        <v>0.072</v>
      </c>
      <c r="F23" s="27" t="s">
        <v>15</v>
      </c>
      <c r="G23" s="27"/>
      <c r="H23" s="17">
        <f>D23/$H$11</f>
        <v>1596162.4133985</v>
      </c>
    </row>
    <row r="24" spans="1:9" ht="12.75">
      <c r="A24" s="6">
        <v>16</v>
      </c>
      <c r="B24" s="37" t="s">
        <v>30</v>
      </c>
      <c r="C24" s="30"/>
      <c r="D24" s="39">
        <v>189695939.14071167</v>
      </c>
      <c r="E24" s="31">
        <f t="shared" si="0"/>
        <v>8.741</v>
      </c>
      <c r="F24" s="27"/>
      <c r="G24" s="27" t="s">
        <v>13</v>
      </c>
      <c r="H24" s="17"/>
      <c r="I24" s="38"/>
    </row>
    <row r="25" spans="1:9" ht="12.75">
      <c r="A25" s="6">
        <v>17</v>
      </c>
      <c r="B25" s="37" t="s">
        <v>31</v>
      </c>
      <c r="C25" s="30"/>
      <c r="D25" s="36">
        <v>80894673.44757576</v>
      </c>
      <c r="E25" s="31">
        <f t="shared" si="0"/>
        <v>3.727</v>
      </c>
      <c r="F25" s="27"/>
      <c r="G25" s="27" t="s">
        <v>13</v>
      </c>
      <c r="H25" s="17"/>
      <c r="I25" s="38"/>
    </row>
    <row r="26" spans="1:8" ht="12.75">
      <c r="A26" s="6">
        <v>18</v>
      </c>
      <c r="B26" s="30" t="s">
        <v>32</v>
      </c>
      <c r="C26" s="30"/>
      <c r="D26" s="17">
        <v>-5322833.34596</v>
      </c>
      <c r="E26" s="31">
        <f t="shared" si="0"/>
        <v>-0.245</v>
      </c>
      <c r="F26" s="27"/>
      <c r="G26" s="27" t="s">
        <v>13</v>
      </c>
      <c r="H26" s="17"/>
    </row>
    <row r="27" spans="1:9" ht="12.75">
      <c r="A27" s="6">
        <v>19</v>
      </c>
      <c r="B27" s="37" t="s">
        <v>33</v>
      </c>
      <c r="C27" s="30"/>
      <c r="D27" s="17">
        <v>100568709.68903041</v>
      </c>
      <c r="E27" s="31">
        <f t="shared" si="0"/>
        <v>4.634</v>
      </c>
      <c r="F27" s="27" t="s">
        <v>15</v>
      </c>
      <c r="G27" s="27"/>
      <c r="H27" s="17">
        <f>D27/$H$11</f>
        <v>103402985.52219374</v>
      </c>
      <c r="I27" s="38"/>
    </row>
    <row r="28" spans="1:9" ht="12.75">
      <c r="A28" s="6">
        <v>20</v>
      </c>
      <c r="B28" s="37" t="s">
        <v>34</v>
      </c>
      <c r="C28" s="30"/>
      <c r="D28" s="17">
        <v>-14813966.036890984</v>
      </c>
      <c r="E28" s="31">
        <f t="shared" si="0"/>
        <v>-0.683</v>
      </c>
      <c r="F28" s="27"/>
      <c r="G28" s="27" t="s">
        <v>13</v>
      </c>
      <c r="H28" s="17"/>
      <c r="I28" s="38"/>
    </row>
    <row r="29" spans="1:9" s="46" customFormat="1" ht="12.75">
      <c r="A29" s="41">
        <v>21</v>
      </c>
      <c r="B29" s="37" t="s">
        <v>35</v>
      </c>
      <c r="C29" s="42"/>
      <c r="D29" s="43">
        <v>-214375.6221495112</v>
      </c>
      <c r="E29" s="44">
        <f t="shared" si="0"/>
        <v>-0.01</v>
      </c>
      <c r="F29" s="45"/>
      <c r="G29" s="45" t="s">
        <v>13</v>
      </c>
      <c r="H29" s="43"/>
      <c r="I29"/>
    </row>
    <row r="30" spans="1:8" ht="12.75">
      <c r="A30" s="6">
        <v>22</v>
      </c>
      <c r="B30" s="30" t="s">
        <v>36</v>
      </c>
      <c r="C30" s="30"/>
      <c r="D30" s="17">
        <v>1456224.96635</v>
      </c>
      <c r="E30" s="31">
        <f t="shared" si="0"/>
        <v>0.067</v>
      </c>
      <c r="F30" s="27" t="s">
        <v>15</v>
      </c>
      <c r="G30" s="27"/>
      <c r="H30" s="17">
        <f>D30/$H$11</f>
        <v>1497265</v>
      </c>
    </row>
    <row r="31" spans="1:8" ht="12.75">
      <c r="A31" s="6">
        <v>23</v>
      </c>
      <c r="B31" s="47" t="s">
        <v>37</v>
      </c>
      <c r="C31" s="30"/>
      <c r="D31" s="17">
        <v>73272640.0663484</v>
      </c>
      <c r="E31" s="31">
        <f t="shared" si="0"/>
        <v>3.376</v>
      </c>
      <c r="F31" s="27" t="s">
        <v>15</v>
      </c>
      <c r="G31" s="27"/>
      <c r="H31" s="17">
        <f>D31/$H$11</f>
        <v>75337644.9134254</v>
      </c>
    </row>
    <row r="32" spans="1:8" ht="12.75">
      <c r="A32" s="6">
        <v>24</v>
      </c>
      <c r="B32" s="10" t="s">
        <v>38</v>
      </c>
      <c r="C32" s="48"/>
      <c r="D32" s="17">
        <f>'JHS-7 Ex A-2'!I54</f>
        <v>4056906.114</v>
      </c>
      <c r="E32" s="31">
        <f t="shared" si="0"/>
        <v>0.187</v>
      </c>
      <c r="F32" s="27" t="s">
        <v>15</v>
      </c>
      <c r="G32" s="27"/>
      <c r="H32" s="17">
        <f>D32</f>
        <v>4056906.114</v>
      </c>
    </row>
    <row r="33" spans="1:8" ht="12.75">
      <c r="A33" s="49">
        <v>25</v>
      </c>
      <c r="B33" s="47" t="s">
        <v>39</v>
      </c>
      <c r="C33" s="30"/>
      <c r="D33" s="36">
        <v>67089023.69970779</v>
      </c>
      <c r="E33" s="31">
        <f t="shared" si="0"/>
        <v>3.091</v>
      </c>
      <c r="F33" s="45"/>
      <c r="G33" s="45" t="s">
        <v>13</v>
      </c>
      <c r="H33" s="17"/>
    </row>
    <row r="34" spans="1:8" ht="12.75">
      <c r="A34" s="6">
        <v>26</v>
      </c>
      <c r="B34" s="3" t="s">
        <v>40</v>
      </c>
      <c r="C34" s="48" t="s">
        <v>41</v>
      </c>
      <c r="D34" s="36">
        <v>15549613.305599999</v>
      </c>
      <c r="E34" s="50">
        <f t="shared" si="0"/>
        <v>0.716</v>
      </c>
      <c r="F34" s="37" t="s">
        <v>15</v>
      </c>
      <c r="G34" s="37"/>
      <c r="H34" s="17">
        <f>D34/$H$11</f>
        <v>15987840</v>
      </c>
    </row>
    <row r="35" spans="1:8" ht="12.75">
      <c r="A35" s="6">
        <f aca="true" t="shared" si="1" ref="A35:A50">A34+1</f>
        <v>27</v>
      </c>
      <c r="B35" s="3" t="s">
        <v>42</v>
      </c>
      <c r="C35" s="6"/>
      <c r="D35" s="36">
        <v>3349317.180526684</v>
      </c>
      <c r="E35" s="50">
        <f t="shared" si="0"/>
        <v>0.154</v>
      </c>
      <c r="F35" s="37" t="s">
        <v>15</v>
      </c>
      <c r="G35" s="37"/>
      <c r="H35" s="36">
        <f>D35</f>
        <v>3349317.180526684</v>
      </c>
    </row>
    <row r="36" spans="1:8" ht="12.75">
      <c r="A36" s="6">
        <f t="shared" si="1"/>
        <v>28</v>
      </c>
      <c r="B36" s="51" t="s">
        <v>43</v>
      </c>
      <c r="C36" s="6"/>
      <c r="D36" s="52">
        <v>297532.0970811</v>
      </c>
      <c r="E36" s="53">
        <f t="shared" si="0"/>
        <v>0.014</v>
      </c>
      <c r="F36" s="54"/>
      <c r="G36" s="45" t="s">
        <v>13</v>
      </c>
      <c r="H36" s="52"/>
    </row>
    <row r="37" spans="1:8" ht="13.5" thickBot="1">
      <c r="A37" s="6">
        <f t="shared" si="1"/>
        <v>29</v>
      </c>
      <c r="B37" s="3" t="s">
        <v>44</v>
      </c>
      <c r="C37" s="55"/>
      <c r="D37" s="15">
        <f>SUM(D13:D36)</f>
        <v>1452144293.2199152</v>
      </c>
      <c r="E37" s="56">
        <f>SUM(E13:E36)</f>
        <v>66.91099999999999</v>
      </c>
      <c r="F37" s="436" t="s">
        <v>45</v>
      </c>
      <c r="G37" s="436"/>
      <c r="H37" s="17">
        <f>SUM(H13:H36)</f>
        <v>399043365.27141285</v>
      </c>
    </row>
    <row r="38" spans="1:9" ht="12.75">
      <c r="A38" s="6">
        <f t="shared" si="1"/>
        <v>30</v>
      </c>
      <c r="B38" s="3" t="s">
        <v>46</v>
      </c>
      <c r="D38" s="57">
        <v>0.955788</v>
      </c>
      <c r="E38" s="58"/>
      <c r="F38" s="27"/>
      <c r="G38" s="27"/>
      <c r="H38" s="17"/>
      <c r="I38" s="59"/>
    </row>
    <row r="39" spans="1:9" ht="12.75">
      <c r="A39" s="6">
        <f t="shared" si="1"/>
        <v>31</v>
      </c>
      <c r="D39" s="15">
        <f>D37/D38</f>
        <v>1519316305.7287967</v>
      </c>
      <c r="E39" s="17"/>
      <c r="F39" s="27"/>
      <c r="G39" s="27"/>
      <c r="H39" s="36"/>
      <c r="I39" s="59"/>
    </row>
    <row r="40" spans="1:9" ht="12.75">
      <c r="A40" s="6">
        <f t="shared" si="1"/>
        <v>32</v>
      </c>
      <c r="B40" s="3" t="s">
        <v>47</v>
      </c>
      <c r="D40" s="52">
        <v>21702461</v>
      </c>
      <c r="E40" s="36" t="s">
        <v>48</v>
      </c>
      <c r="F40" s="27"/>
      <c r="G40" s="27"/>
      <c r="H40" s="17"/>
      <c r="I40" s="60"/>
    </row>
    <row r="41" spans="1:9" ht="12.75">
      <c r="A41" s="6">
        <f t="shared" si="1"/>
        <v>33</v>
      </c>
      <c r="B41" s="51"/>
      <c r="C41" s="51"/>
      <c r="D41" s="61"/>
      <c r="E41" s="61"/>
      <c r="F41" s="27"/>
      <c r="G41" s="27"/>
      <c r="H41" s="17"/>
      <c r="I41" s="60"/>
    </row>
    <row r="42" spans="1:9" ht="12.75">
      <c r="A42" s="6">
        <f t="shared" si="1"/>
        <v>34</v>
      </c>
      <c r="B42" s="51"/>
      <c r="C42" s="51"/>
      <c r="D42" s="61"/>
      <c r="E42" s="61"/>
      <c r="F42" s="27"/>
      <c r="G42" s="27"/>
      <c r="H42" s="17"/>
      <c r="I42" s="60"/>
    </row>
    <row r="43" spans="1:9" ht="12.75">
      <c r="A43" s="6">
        <f t="shared" si="1"/>
        <v>35</v>
      </c>
      <c r="B43" s="51"/>
      <c r="C43" s="51"/>
      <c r="D43" s="61"/>
      <c r="E43" s="61"/>
      <c r="F43" s="27"/>
      <c r="G43" s="27"/>
      <c r="H43" s="17"/>
      <c r="I43" s="59"/>
    </row>
    <row r="44" spans="1:9" ht="12.75">
      <c r="A44" s="6">
        <f t="shared" si="1"/>
        <v>36</v>
      </c>
      <c r="B44" s="51"/>
      <c r="C44" s="51"/>
      <c r="D44" s="62" t="s">
        <v>49</v>
      </c>
      <c r="E44" s="27"/>
      <c r="F44" s="63"/>
      <c r="G44" s="64" t="s">
        <v>50</v>
      </c>
      <c r="H44" s="65"/>
      <c r="I44" s="59"/>
    </row>
    <row r="45" spans="1:8" ht="12.75">
      <c r="A45" s="6">
        <f t="shared" si="1"/>
        <v>37</v>
      </c>
      <c r="B45" s="51"/>
      <c r="C45" s="51"/>
      <c r="D45" s="66" t="s">
        <v>51</v>
      </c>
      <c r="E45" s="27"/>
      <c r="F45" s="63"/>
      <c r="G45" s="67" t="s">
        <v>51</v>
      </c>
      <c r="H45" s="68"/>
    </row>
    <row r="46" spans="1:8" ht="12.75" customHeight="1">
      <c r="A46" s="6">
        <f t="shared" si="1"/>
        <v>38</v>
      </c>
      <c r="B46" s="69" t="s">
        <v>52</v>
      </c>
      <c r="C46" s="51"/>
      <c r="D46" s="70"/>
      <c r="E46" s="27"/>
      <c r="F46" s="27"/>
      <c r="G46" s="71"/>
      <c r="H46" s="68"/>
    </row>
    <row r="47" spans="1:8" ht="12.75">
      <c r="A47" s="6">
        <f t="shared" si="1"/>
        <v>39</v>
      </c>
      <c r="B47" s="51" t="s">
        <v>53</v>
      </c>
      <c r="C47" s="51"/>
      <c r="D47" s="72">
        <f>E37</f>
        <v>66.91099999999999</v>
      </c>
      <c r="E47" s="1">
        <f>+E37/$D$38</f>
        <v>70.0061101415795</v>
      </c>
      <c r="F47" s="434"/>
      <c r="G47" s="434"/>
      <c r="H47" s="68"/>
    </row>
    <row r="48" spans="1:8" ht="13.5" customHeight="1">
      <c r="A48" s="6">
        <f t="shared" si="1"/>
        <v>40</v>
      </c>
      <c r="B48" s="73" t="s">
        <v>54</v>
      </c>
      <c r="C48" s="51"/>
      <c r="D48" s="72">
        <f>SUMIF($F$13:$F$35,"(a)",E13:E36)</f>
        <v>17.906000000000002</v>
      </c>
      <c r="E48" s="1">
        <f>D48/$D$38</f>
        <v>18.734279986775313</v>
      </c>
      <c r="F48" s="434"/>
      <c r="G48" s="434"/>
      <c r="H48" s="65"/>
    </row>
    <row r="49" spans="1:8" ht="12.75">
      <c r="A49" s="6">
        <f t="shared" si="1"/>
        <v>41</v>
      </c>
      <c r="B49" s="51" t="s">
        <v>55</v>
      </c>
      <c r="C49" s="51"/>
      <c r="D49" s="72">
        <f>E37</f>
        <v>66.91099999999999</v>
      </c>
      <c r="E49" s="1">
        <f>D49/$D$38</f>
        <v>70.0061101415795</v>
      </c>
      <c r="F49" s="434"/>
      <c r="G49" s="434"/>
      <c r="H49" s="17"/>
    </row>
    <row r="50" spans="1:8" ht="12.75">
      <c r="A50" s="6">
        <f t="shared" si="1"/>
        <v>42</v>
      </c>
      <c r="B50" s="73" t="s">
        <v>56</v>
      </c>
      <c r="C50" s="74"/>
      <c r="D50" s="72">
        <f>SUMIF($G$13:$G$36,"(c)",E13:E35)</f>
        <v>49.005</v>
      </c>
      <c r="E50" s="1">
        <f>D50/$D$38</f>
        <v>51.271830154804206</v>
      </c>
      <c r="F50" s="434"/>
      <c r="G50" s="434"/>
      <c r="H50" s="17"/>
    </row>
    <row r="51" ht="13.5">
      <c r="A51" s="75"/>
    </row>
    <row r="112" ht="12.75">
      <c r="Q112" s="79"/>
    </row>
  </sheetData>
  <sheetProtection/>
  <mergeCells count="6">
    <mergeCell ref="E48:G48"/>
    <mergeCell ref="E49:G49"/>
    <mergeCell ref="E50:G50"/>
    <mergeCell ref="E4:G4"/>
    <mergeCell ref="F37:G37"/>
    <mergeCell ref="E47:G47"/>
  </mergeCells>
  <conditionalFormatting sqref="I25 I27:I28 I16:I17">
    <cfRule type="cellIs" priority="1" dxfId="0" operator="notEqual" stopIfTrue="1">
      <formula>0</formula>
    </cfRule>
  </conditionalFormatting>
  <printOptions horizontalCentered="1"/>
  <pageMargins left="1" right="1" top="1" bottom="1" header="0.5" footer="0.5"/>
  <pageSetup fitToHeight="1" fitToWidth="1" horizontalDpi="600" verticalDpi="600" orientation="portrait" scale="78" r:id="rId1"/>
  <headerFooter alignWithMargins="0">
    <oddHeader>&amp;R&amp;"Helv,Bold"&amp;10
</oddHeader>
    <oddFooter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PageLayoutView="0" workbookViewId="0" topLeftCell="A38">
      <selection activeCell="A54" sqref="A4:I54"/>
    </sheetView>
  </sheetViews>
  <sheetFormatPr defaultColWidth="11.5" defaultRowHeight="10.5"/>
  <cols>
    <col min="1" max="1" width="5.83203125" style="80" bestFit="1" customWidth="1"/>
    <col min="2" max="2" width="13" style="80" customWidth="1"/>
    <col min="3" max="3" width="33.16015625" style="80" customWidth="1"/>
    <col min="4" max="4" width="2.66015625" style="81" customWidth="1"/>
    <col min="5" max="5" width="19.16015625" style="80" customWidth="1"/>
    <col min="6" max="6" width="21.33203125" style="80" customWidth="1"/>
    <col min="7" max="7" width="17.66015625" style="80" bestFit="1" customWidth="1"/>
    <col min="8" max="8" width="2.5" style="80" customWidth="1"/>
    <col min="9" max="9" width="16.33203125" style="80" customWidth="1"/>
    <col min="10" max="10" width="10.33203125" style="80" customWidth="1"/>
    <col min="11" max="11" width="13.5" style="80" customWidth="1"/>
    <col min="12" max="12" width="15.5" style="80" customWidth="1"/>
    <col min="13" max="16384" width="11.5" style="80" customWidth="1"/>
  </cols>
  <sheetData>
    <row r="1" spans="7:9" ht="12.75">
      <c r="G1" s="82"/>
      <c r="I1" s="4"/>
    </row>
    <row r="2" spans="7:9" ht="12.75">
      <c r="G2" s="82"/>
      <c r="I2" s="5"/>
    </row>
    <row r="3" spans="7:9" ht="12.75">
      <c r="G3" s="82"/>
      <c r="I3" s="7"/>
    </row>
    <row r="4" spans="1:9" ht="18">
      <c r="A4" s="83" t="s">
        <v>64</v>
      </c>
      <c r="G4" s="82"/>
      <c r="I4" s="7"/>
    </row>
    <row r="6" spans="1:9" ht="12.75">
      <c r="A6" s="84" t="s">
        <v>1</v>
      </c>
      <c r="B6" s="80" t="s">
        <v>41</v>
      </c>
      <c r="E6" s="84" t="s">
        <v>65</v>
      </c>
      <c r="F6" s="84" t="s">
        <v>66</v>
      </c>
      <c r="G6" s="84"/>
      <c r="H6" s="85"/>
      <c r="I6" s="84" t="s">
        <v>67</v>
      </c>
    </row>
    <row r="7" spans="1:9" ht="12.75">
      <c r="A7" s="84">
        <f>ROW()</f>
        <v>7</v>
      </c>
      <c r="B7" s="86"/>
      <c r="E7" s="87" t="s">
        <v>68</v>
      </c>
      <c r="F7" s="88" t="s">
        <v>69</v>
      </c>
      <c r="G7" s="88" t="s">
        <v>70</v>
      </c>
      <c r="H7" s="89"/>
      <c r="I7" s="87" t="s">
        <v>71</v>
      </c>
    </row>
    <row r="8" spans="1:2" ht="12.75">
      <c r="A8" s="84">
        <f>ROW()</f>
        <v>8</v>
      </c>
      <c r="B8" s="86"/>
    </row>
    <row r="9" spans="1:8" ht="12.75">
      <c r="A9" s="84">
        <v>6</v>
      </c>
      <c r="B9" s="90"/>
      <c r="C9" s="91" t="s">
        <v>72</v>
      </c>
      <c r="D9" s="91"/>
      <c r="H9" s="81"/>
    </row>
    <row r="10" spans="1:9" ht="12.75">
      <c r="A10" s="84">
        <v>7</v>
      </c>
      <c r="B10" s="90" t="s">
        <v>73</v>
      </c>
      <c r="C10" s="91" t="s">
        <v>74</v>
      </c>
      <c r="D10" s="91"/>
      <c r="E10" s="82">
        <v>10246.74</v>
      </c>
      <c r="F10" s="82">
        <v>0</v>
      </c>
      <c r="G10" s="92">
        <f aca="true" t="shared" si="0" ref="G10:G16">SUM(E10:F10)</f>
        <v>10246.74</v>
      </c>
      <c r="H10" s="93"/>
      <c r="I10" s="92"/>
    </row>
    <row r="11" spans="1:9" ht="12.75">
      <c r="A11" s="84">
        <v>8</v>
      </c>
      <c r="B11" s="90" t="s">
        <v>75</v>
      </c>
      <c r="C11" s="91" t="s">
        <v>76</v>
      </c>
      <c r="D11" s="91"/>
      <c r="E11" s="82">
        <v>685926.52</v>
      </c>
      <c r="F11" s="82">
        <v>-381747.35</v>
      </c>
      <c r="G11" s="94">
        <f t="shared" si="0"/>
        <v>304179.17000000004</v>
      </c>
      <c r="H11" s="95"/>
      <c r="I11" s="94">
        <v>13032.6</v>
      </c>
    </row>
    <row r="12" spans="1:9" ht="12.75">
      <c r="A12" s="84">
        <v>9</v>
      </c>
      <c r="B12" s="90" t="s">
        <v>77</v>
      </c>
      <c r="C12" s="91" t="s">
        <v>78</v>
      </c>
      <c r="D12" s="91"/>
      <c r="E12" s="82">
        <v>1231130.94</v>
      </c>
      <c r="F12" s="82">
        <v>-918566.3</v>
      </c>
      <c r="G12" s="94">
        <f t="shared" si="0"/>
        <v>312564.6399999999</v>
      </c>
      <c r="H12" s="95"/>
      <c r="I12" s="94">
        <v>25976.88</v>
      </c>
    </row>
    <row r="13" spans="1:9" ht="12.75">
      <c r="A13" s="84">
        <v>10</v>
      </c>
      <c r="B13" s="90" t="s">
        <v>79</v>
      </c>
      <c r="C13" s="91" t="s">
        <v>80</v>
      </c>
      <c r="D13" s="91"/>
      <c r="E13" s="82">
        <v>14495853</v>
      </c>
      <c r="F13" s="82">
        <v>-8492048.785</v>
      </c>
      <c r="G13" s="94">
        <f t="shared" si="0"/>
        <v>6003804.215</v>
      </c>
      <c r="H13" s="95"/>
      <c r="I13" s="94">
        <v>242133.04</v>
      </c>
    </row>
    <row r="14" spans="1:9" ht="12.75">
      <c r="A14" s="84">
        <v>11</v>
      </c>
      <c r="B14" s="90" t="s">
        <v>81</v>
      </c>
      <c r="C14" s="91" t="s">
        <v>82</v>
      </c>
      <c r="D14" s="91"/>
      <c r="E14" s="82">
        <v>49007</v>
      </c>
      <c r="F14" s="82">
        <v>-46565.1</v>
      </c>
      <c r="G14" s="94">
        <f t="shared" si="0"/>
        <v>2441.9000000000015</v>
      </c>
      <c r="H14" s="95"/>
      <c r="I14" s="94">
        <v>1480.08</v>
      </c>
    </row>
    <row r="15" spans="1:9" ht="12.75">
      <c r="A15" s="84">
        <v>12</v>
      </c>
      <c r="B15" s="90" t="s">
        <v>83</v>
      </c>
      <c r="C15" s="91" t="s">
        <v>84</v>
      </c>
      <c r="D15" s="91"/>
      <c r="E15" s="82">
        <v>13158152.71</v>
      </c>
      <c r="F15" s="82">
        <v>-8305550.9</v>
      </c>
      <c r="G15" s="94">
        <f t="shared" si="0"/>
        <v>4852601.8100000005</v>
      </c>
      <c r="H15" s="95"/>
      <c r="I15" s="94">
        <v>277686.62</v>
      </c>
    </row>
    <row r="16" spans="1:9" ht="12.75">
      <c r="A16" s="84">
        <v>13</v>
      </c>
      <c r="B16" s="90" t="s">
        <v>85</v>
      </c>
      <c r="C16" s="91" t="s">
        <v>86</v>
      </c>
      <c r="D16" s="91"/>
      <c r="E16" s="82">
        <v>113968.39</v>
      </c>
      <c r="F16" s="82">
        <v>-63379.4</v>
      </c>
      <c r="G16" s="94">
        <f t="shared" si="0"/>
        <v>50588.99</v>
      </c>
      <c r="H16" s="95"/>
      <c r="I16" s="94">
        <v>1629.72</v>
      </c>
    </row>
    <row r="17" spans="1:9" ht="12.75">
      <c r="A17" s="84">
        <v>14</v>
      </c>
      <c r="B17" s="90"/>
      <c r="C17" s="96"/>
      <c r="D17" s="96"/>
      <c r="E17" s="97">
        <v>29744285.3</v>
      </c>
      <c r="F17" s="97">
        <v>-18207857.835</v>
      </c>
      <c r="G17" s="98">
        <f>SUM(G10:G16)</f>
        <v>11536427.465000002</v>
      </c>
      <c r="H17" s="99"/>
      <c r="I17" s="98">
        <v>561938.94</v>
      </c>
    </row>
    <row r="18" spans="1:9" ht="12.75">
      <c r="A18" s="84">
        <v>15</v>
      </c>
      <c r="B18" s="90"/>
      <c r="C18" s="91"/>
      <c r="D18" s="91"/>
      <c r="E18" s="97"/>
      <c r="F18" s="97"/>
      <c r="G18" s="98"/>
      <c r="H18" s="99"/>
      <c r="I18" s="98"/>
    </row>
    <row r="19" spans="1:9" ht="12.75">
      <c r="A19" s="84">
        <v>16</v>
      </c>
      <c r="B19" s="90"/>
      <c r="C19" s="91" t="s">
        <v>87</v>
      </c>
      <c r="D19" s="91"/>
      <c r="E19" s="100"/>
      <c r="F19" s="100"/>
      <c r="G19" s="101"/>
      <c r="H19" s="99"/>
      <c r="I19" s="101"/>
    </row>
    <row r="20" spans="1:9" ht="12.75">
      <c r="A20" s="84">
        <v>17</v>
      </c>
      <c r="B20" s="90" t="s">
        <v>75</v>
      </c>
      <c r="C20" s="91" t="s">
        <v>76</v>
      </c>
      <c r="D20" s="91"/>
      <c r="E20" s="82">
        <v>1071124.09</v>
      </c>
      <c r="F20" s="82">
        <v>-583872.05</v>
      </c>
      <c r="G20" s="94">
        <f aca="true" t="shared" si="1" ref="G20:G26">SUM(E20:F20)</f>
        <v>487252.04000000004</v>
      </c>
      <c r="H20" s="95"/>
      <c r="I20" s="82">
        <v>20351.4</v>
      </c>
    </row>
    <row r="21" spans="1:9" ht="12.75">
      <c r="A21" s="84">
        <v>18</v>
      </c>
      <c r="B21" s="90" t="s">
        <v>88</v>
      </c>
      <c r="C21" s="91" t="s">
        <v>89</v>
      </c>
      <c r="D21" s="91"/>
      <c r="E21" s="82">
        <v>496711.33</v>
      </c>
      <c r="F21" s="82">
        <v>-273029.75</v>
      </c>
      <c r="G21" s="94">
        <f t="shared" si="1"/>
        <v>223681.58000000002</v>
      </c>
      <c r="H21" s="95"/>
      <c r="I21" s="82">
        <v>8444.04</v>
      </c>
    </row>
    <row r="22" spans="1:9" ht="12.75">
      <c r="A22" s="84">
        <v>19</v>
      </c>
      <c r="B22" s="90" t="s">
        <v>77</v>
      </c>
      <c r="C22" s="91" t="s">
        <v>78</v>
      </c>
      <c r="D22" s="91"/>
      <c r="E22" s="82">
        <v>18421673</v>
      </c>
      <c r="F22" s="82">
        <v>-10620107.185</v>
      </c>
      <c r="G22" s="94">
        <f t="shared" si="1"/>
        <v>7801565.8149999995</v>
      </c>
      <c r="H22" s="95"/>
      <c r="I22" s="82">
        <v>391289.9</v>
      </c>
    </row>
    <row r="23" spans="1:9" ht="12.75">
      <c r="A23" s="84">
        <v>20</v>
      </c>
      <c r="B23" s="90" t="s">
        <v>79</v>
      </c>
      <c r="C23" s="91" t="s">
        <v>80</v>
      </c>
      <c r="D23" s="91"/>
      <c r="E23" s="82">
        <v>20567247</v>
      </c>
      <c r="F23" s="82">
        <v>-11722820.48</v>
      </c>
      <c r="G23" s="94">
        <f t="shared" si="1"/>
        <v>8844426.52</v>
      </c>
      <c r="H23" s="95"/>
      <c r="I23" s="82">
        <v>343210.09</v>
      </c>
    </row>
    <row r="24" spans="1:9" ht="12.75">
      <c r="A24" s="84">
        <v>21</v>
      </c>
      <c r="B24" s="90" t="s">
        <v>81</v>
      </c>
      <c r="C24" s="91" t="s">
        <v>82</v>
      </c>
      <c r="D24" s="91"/>
      <c r="E24" s="82">
        <v>88691.66</v>
      </c>
      <c r="F24" s="82">
        <v>-29143.95</v>
      </c>
      <c r="G24" s="94">
        <f t="shared" si="1"/>
        <v>59547.71000000001</v>
      </c>
      <c r="H24" s="95"/>
      <c r="I24" s="82">
        <v>2678.52</v>
      </c>
    </row>
    <row r="25" spans="1:9" ht="12.75">
      <c r="A25" s="84">
        <v>22</v>
      </c>
      <c r="B25" s="90" t="s">
        <v>83</v>
      </c>
      <c r="C25" s="91" t="s">
        <v>84</v>
      </c>
      <c r="D25" s="91"/>
      <c r="E25" s="82">
        <v>19991225.77</v>
      </c>
      <c r="F25" s="82">
        <v>-12357296.4</v>
      </c>
      <c r="G25" s="94">
        <f t="shared" si="1"/>
        <v>7633929.369999999</v>
      </c>
      <c r="H25" s="95"/>
      <c r="I25" s="82">
        <v>421784.76</v>
      </c>
    </row>
    <row r="26" spans="1:9" ht="12.75">
      <c r="A26" s="84">
        <v>23</v>
      </c>
      <c r="B26" s="90" t="s">
        <v>85</v>
      </c>
      <c r="C26" s="91" t="s">
        <v>86</v>
      </c>
      <c r="D26" s="91"/>
      <c r="E26" s="82">
        <v>341015.23</v>
      </c>
      <c r="F26" s="82">
        <v>-186913.4</v>
      </c>
      <c r="G26" s="94">
        <f t="shared" si="1"/>
        <v>154101.83</v>
      </c>
      <c r="H26" s="95"/>
      <c r="I26" s="82">
        <v>4876.56</v>
      </c>
    </row>
    <row r="27" spans="1:9" ht="12.75">
      <c r="A27" s="84">
        <v>24</v>
      </c>
      <c r="B27" s="90"/>
      <c r="C27" s="96"/>
      <c r="D27" s="96"/>
      <c r="E27" s="97">
        <v>60977688.07999999</v>
      </c>
      <c r="F27" s="97">
        <v>-35773183.215</v>
      </c>
      <c r="G27" s="98">
        <f>SUM(G20:G26)</f>
        <v>25204504.864999995</v>
      </c>
      <c r="H27" s="99"/>
      <c r="I27" s="98">
        <v>1192635.27</v>
      </c>
    </row>
    <row r="28" spans="1:9" ht="12.75">
      <c r="A28" s="84">
        <v>25</v>
      </c>
      <c r="B28" s="90"/>
      <c r="C28" s="102"/>
      <c r="D28" s="102"/>
      <c r="E28" s="97"/>
      <c r="F28" s="97"/>
      <c r="G28" s="98"/>
      <c r="H28" s="99"/>
      <c r="I28" s="98"/>
    </row>
    <row r="29" spans="1:9" ht="12.75">
      <c r="A29" s="84">
        <v>26</v>
      </c>
      <c r="B29" s="90"/>
      <c r="C29" s="91" t="s">
        <v>90</v>
      </c>
      <c r="D29" s="91"/>
      <c r="E29" s="100"/>
      <c r="F29" s="100"/>
      <c r="G29" s="101"/>
      <c r="H29" s="99"/>
      <c r="I29" s="101"/>
    </row>
    <row r="30" spans="1:9" ht="12.75">
      <c r="A30" s="84">
        <v>27</v>
      </c>
      <c r="B30" s="103" t="s">
        <v>73</v>
      </c>
      <c r="C30" s="104" t="s">
        <v>74</v>
      </c>
      <c r="D30" s="91"/>
      <c r="E30" s="82">
        <v>1769178.02</v>
      </c>
      <c r="F30" s="82">
        <v>0</v>
      </c>
      <c r="G30" s="94">
        <f aca="true" t="shared" si="2" ref="G30:G36">SUM(E30:F30)</f>
        <v>1769178.02</v>
      </c>
      <c r="H30" s="95"/>
      <c r="I30" s="94">
        <v>0</v>
      </c>
    </row>
    <row r="31" spans="1:9" ht="12.75">
      <c r="A31" s="84">
        <v>28</v>
      </c>
      <c r="B31" s="103" t="s">
        <v>88</v>
      </c>
      <c r="C31" s="104" t="s">
        <v>89</v>
      </c>
      <c r="D31" s="91"/>
      <c r="E31" s="82">
        <v>1276263.66</v>
      </c>
      <c r="F31" s="82">
        <v>-348009.4</v>
      </c>
      <c r="G31" s="94">
        <f t="shared" si="2"/>
        <v>928254.2599999999</v>
      </c>
      <c r="H31" s="95"/>
      <c r="I31" s="94">
        <v>21696.48</v>
      </c>
    </row>
    <row r="32" spans="1:9" ht="12.75">
      <c r="A32" s="84">
        <v>29</v>
      </c>
      <c r="B32" s="103" t="s">
        <v>77</v>
      </c>
      <c r="C32" s="104" t="s">
        <v>78</v>
      </c>
      <c r="D32" s="91"/>
      <c r="E32" s="82">
        <v>32194258</v>
      </c>
      <c r="F32" s="82">
        <v>-10684069.95</v>
      </c>
      <c r="G32" s="94">
        <f t="shared" si="2"/>
        <v>21510188.05</v>
      </c>
      <c r="H32" s="95"/>
      <c r="I32" s="94">
        <v>684498.72</v>
      </c>
    </row>
    <row r="33" spans="1:9" ht="12.75">
      <c r="A33" s="84">
        <v>30</v>
      </c>
      <c r="B33" s="103" t="s">
        <v>79</v>
      </c>
      <c r="C33" s="104" t="s">
        <v>80</v>
      </c>
      <c r="D33" s="91"/>
      <c r="E33" s="82">
        <v>22781416.95</v>
      </c>
      <c r="F33" s="82">
        <v>-6335929.95</v>
      </c>
      <c r="G33" s="94">
        <f t="shared" si="2"/>
        <v>16445487</v>
      </c>
      <c r="H33" s="95"/>
      <c r="I33" s="94">
        <v>380449.56</v>
      </c>
    </row>
    <row r="34" spans="1:9" ht="12.75">
      <c r="A34" s="84">
        <v>31</v>
      </c>
      <c r="B34" s="103" t="s">
        <v>81</v>
      </c>
      <c r="C34" s="104" t="s">
        <v>82</v>
      </c>
      <c r="D34" s="91"/>
      <c r="E34" s="82">
        <v>204200</v>
      </c>
      <c r="F34" s="82">
        <v>-58389.4</v>
      </c>
      <c r="G34" s="94">
        <f t="shared" si="2"/>
        <v>145810.6</v>
      </c>
      <c r="H34" s="95"/>
      <c r="I34" s="94">
        <v>6166.92</v>
      </c>
    </row>
    <row r="35" spans="1:9" ht="12.75">
      <c r="A35" s="84">
        <v>32</v>
      </c>
      <c r="B35" s="103" t="s">
        <v>83</v>
      </c>
      <c r="C35" s="104" t="s">
        <v>84</v>
      </c>
      <c r="D35" s="91"/>
      <c r="E35" s="82">
        <v>23498389.01</v>
      </c>
      <c r="F35" s="82">
        <v>-8830961.1</v>
      </c>
      <c r="G35" s="94">
        <f t="shared" si="2"/>
        <v>14667427.910000002</v>
      </c>
      <c r="H35" s="95"/>
      <c r="I35" s="94">
        <v>495816</v>
      </c>
    </row>
    <row r="36" spans="1:9" ht="12.75">
      <c r="A36" s="84">
        <v>33</v>
      </c>
      <c r="B36" s="103" t="s">
        <v>85</v>
      </c>
      <c r="C36" s="104" t="s">
        <v>86</v>
      </c>
      <c r="D36" s="91"/>
      <c r="E36" s="82">
        <v>59215.29</v>
      </c>
      <c r="F36" s="82">
        <v>-8629.25</v>
      </c>
      <c r="G36" s="94">
        <f t="shared" si="2"/>
        <v>50586.04</v>
      </c>
      <c r="H36" s="95"/>
      <c r="I36" s="94">
        <v>846.72</v>
      </c>
    </row>
    <row r="37" spans="1:9" ht="12.75">
      <c r="A37" s="84">
        <v>35</v>
      </c>
      <c r="B37" s="90"/>
      <c r="C37" s="96"/>
      <c r="D37" s="96"/>
      <c r="E37" s="97">
        <v>81782920.93</v>
      </c>
      <c r="F37" s="97">
        <v>-26265989.049999997</v>
      </c>
      <c r="G37" s="98">
        <f>SUM(G30:G36)</f>
        <v>55516931.88</v>
      </c>
      <c r="H37" s="99"/>
      <c r="I37" s="98">
        <v>1589474.4</v>
      </c>
    </row>
    <row r="38" spans="1:9" ht="12.75">
      <c r="A38" s="84">
        <v>36</v>
      </c>
      <c r="B38" s="90"/>
      <c r="C38" s="102"/>
      <c r="D38" s="102"/>
      <c r="E38" s="97"/>
      <c r="F38" s="97"/>
      <c r="G38" s="98"/>
      <c r="H38" s="99"/>
      <c r="I38" s="98"/>
    </row>
    <row r="39" spans="1:9" ht="12.75">
      <c r="A39" s="84">
        <v>37</v>
      </c>
      <c r="B39" s="90"/>
      <c r="C39" s="91" t="s">
        <v>91</v>
      </c>
      <c r="D39" s="91"/>
      <c r="E39" s="100"/>
      <c r="F39" s="100"/>
      <c r="G39" s="101"/>
      <c r="H39" s="99"/>
      <c r="I39" s="101"/>
    </row>
    <row r="40" spans="1:9" ht="12.75">
      <c r="A40" s="84">
        <v>38</v>
      </c>
      <c r="B40" s="103" t="s">
        <v>73</v>
      </c>
      <c r="C40" s="104" t="s">
        <v>74</v>
      </c>
      <c r="D40" s="91"/>
      <c r="E40" s="82">
        <v>30604.26</v>
      </c>
      <c r="F40" s="82">
        <v>0</v>
      </c>
      <c r="G40" s="94">
        <f>SUM(E40:F40)</f>
        <v>30604.26</v>
      </c>
      <c r="H40" s="95"/>
      <c r="I40" s="94"/>
    </row>
    <row r="41" spans="1:9" ht="12.75">
      <c r="A41" s="84">
        <v>39</v>
      </c>
      <c r="B41" s="103" t="s">
        <v>79</v>
      </c>
      <c r="C41" s="104" t="s">
        <v>80</v>
      </c>
      <c r="D41" s="91"/>
      <c r="E41" s="82">
        <v>5744097.42</v>
      </c>
      <c r="F41" s="82">
        <v>-1299145.55</v>
      </c>
      <c r="G41" s="94">
        <f>SUM(E41:F41)</f>
        <v>4444951.87</v>
      </c>
      <c r="H41" s="95"/>
      <c r="I41" s="94">
        <v>95926.44</v>
      </c>
    </row>
    <row r="42" spans="1:9" ht="12.75">
      <c r="A42" s="84">
        <v>40</v>
      </c>
      <c r="B42" s="103" t="s">
        <v>81</v>
      </c>
      <c r="C42" s="104" t="s">
        <v>82</v>
      </c>
      <c r="D42" s="91"/>
      <c r="E42" s="82">
        <v>3409904.12</v>
      </c>
      <c r="F42" s="82">
        <v>-1063404.5</v>
      </c>
      <c r="G42" s="94">
        <f>SUM(E42:F42)</f>
        <v>2346499.62</v>
      </c>
      <c r="H42" s="95"/>
      <c r="I42" s="94">
        <v>102889.08</v>
      </c>
    </row>
    <row r="43" spans="1:9" ht="12.75">
      <c r="A43" s="84">
        <v>41</v>
      </c>
      <c r="B43" s="103" t="s">
        <v>83</v>
      </c>
      <c r="C43" s="104" t="s">
        <v>84</v>
      </c>
      <c r="D43" s="91"/>
      <c r="E43" s="82">
        <v>12602797.53</v>
      </c>
      <c r="F43" s="82">
        <v>-3731405.3</v>
      </c>
      <c r="G43" s="94">
        <f>SUM(E43:F43)</f>
        <v>8871392.23</v>
      </c>
      <c r="H43" s="95"/>
      <c r="I43" s="94">
        <v>265919.04</v>
      </c>
    </row>
    <row r="44" spans="1:9" ht="12.75">
      <c r="A44" s="84">
        <v>44</v>
      </c>
      <c r="B44" s="90"/>
      <c r="C44" s="96"/>
      <c r="D44" s="96"/>
      <c r="E44" s="97">
        <v>21787403.33</v>
      </c>
      <c r="F44" s="97">
        <v>-6093955.35</v>
      </c>
      <c r="G44" s="98">
        <f>SUM(G40:G43)</f>
        <v>15693447.98</v>
      </c>
      <c r="H44" s="99"/>
      <c r="I44" s="98">
        <v>464734.56</v>
      </c>
    </row>
    <row r="45" spans="1:9" ht="12.75">
      <c r="A45" s="84">
        <v>45</v>
      </c>
      <c r="B45" s="90"/>
      <c r="C45" s="105"/>
      <c r="D45" s="105"/>
      <c r="E45" s="98"/>
      <c r="F45" s="98"/>
      <c r="G45" s="98"/>
      <c r="H45" s="99"/>
      <c r="I45" s="98"/>
    </row>
    <row r="46" spans="1:9" ht="12.75">
      <c r="A46" s="84">
        <v>46</v>
      </c>
      <c r="B46" s="90"/>
      <c r="C46" s="102"/>
      <c r="D46" s="102"/>
      <c r="E46" s="101"/>
      <c r="F46" s="101"/>
      <c r="G46" s="101"/>
      <c r="H46" s="99"/>
      <c r="I46" s="101"/>
    </row>
    <row r="47" spans="1:9" ht="13.5" thickBot="1">
      <c r="A47" s="84">
        <v>47</v>
      </c>
      <c r="B47" s="91" t="s">
        <v>92</v>
      </c>
      <c r="C47" s="96"/>
      <c r="D47" s="96"/>
      <c r="E47" s="106">
        <v>194292297.64</v>
      </c>
      <c r="F47" s="106">
        <v>-86340985.44999999</v>
      </c>
      <c r="G47" s="106">
        <f>G17+G27+G37+G44</f>
        <v>107951312.19000001</v>
      </c>
      <c r="H47" s="93"/>
      <c r="I47" s="106">
        <f>I17+I27+I37+I44</f>
        <v>3808783.17</v>
      </c>
    </row>
    <row r="48" spans="1:9" ht="13.5" thickTop="1">
      <c r="A48" s="84">
        <v>48</v>
      </c>
      <c r="B48" s="80" t="s">
        <v>93</v>
      </c>
      <c r="C48" s="96"/>
      <c r="D48" s="96"/>
      <c r="E48" s="99">
        <f>F47</f>
        <v>-86340985.44999999</v>
      </c>
      <c r="F48" s="99"/>
      <c r="G48" s="99"/>
      <c r="H48" s="99"/>
      <c r="I48" s="99"/>
    </row>
    <row r="49" spans="1:9" ht="12.75">
      <c r="A49" s="84">
        <v>49</v>
      </c>
      <c r="B49" s="80" t="s">
        <v>94</v>
      </c>
      <c r="C49" s="96"/>
      <c r="D49" s="96"/>
      <c r="E49" s="99">
        <v>-9572114.541666677</v>
      </c>
      <c r="F49" s="96"/>
      <c r="G49" s="96"/>
      <c r="H49" s="107"/>
      <c r="I49" s="96"/>
    </row>
    <row r="50" spans="1:9" ht="12.75">
      <c r="A50" s="84">
        <v>50</v>
      </c>
      <c r="B50" s="80" t="s">
        <v>95</v>
      </c>
      <c r="C50" s="96"/>
      <c r="D50" s="96"/>
      <c r="F50" s="81"/>
      <c r="G50" s="81"/>
      <c r="H50" s="81"/>
      <c r="I50" s="81"/>
    </row>
    <row r="51" spans="1:9" ht="12.75">
      <c r="A51" s="84">
        <v>51</v>
      </c>
      <c r="B51" s="108" t="s">
        <v>96</v>
      </c>
      <c r="C51" s="96"/>
      <c r="D51" s="96"/>
      <c r="E51" s="99">
        <v>3407401.4100000323</v>
      </c>
      <c r="F51" s="99"/>
      <c r="G51" s="99"/>
      <c r="H51" s="99"/>
      <c r="I51" s="99">
        <v>213630.15</v>
      </c>
    </row>
    <row r="52" spans="1:9" ht="12.75">
      <c r="A52" s="84">
        <v>52</v>
      </c>
      <c r="B52" s="108" t="s">
        <v>97</v>
      </c>
      <c r="C52" s="96"/>
      <c r="D52" s="96"/>
      <c r="E52" s="109">
        <v>551340.7375</v>
      </c>
      <c r="F52" s="99"/>
      <c r="G52" s="109"/>
      <c r="H52" s="99"/>
      <c r="I52" s="99">
        <v>34492.794</v>
      </c>
    </row>
    <row r="53" spans="1:9" ht="12.75">
      <c r="A53" s="84">
        <v>53</v>
      </c>
      <c r="C53" s="96"/>
      <c r="D53" s="96"/>
      <c r="E53" s="98"/>
      <c r="F53" s="99"/>
      <c r="G53" s="99"/>
      <c r="H53" s="99"/>
      <c r="I53" s="98"/>
    </row>
    <row r="54" spans="1:9" ht="13.5" thickBot="1">
      <c r="A54" s="84">
        <v>54</v>
      </c>
      <c r="B54" s="80" t="s">
        <v>98</v>
      </c>
      <c r="C54" s="96"/>
      <c r="D54" s="96"/>
      <c r="E54" s="106">
        <f>SUM(E47:E53)</f>
        <v>102337939.79583335</v>
      </c>
      <c r="F54" s="93"/>
      <c r="G54" s="93"/>
      <c r="H54" s="93"/>
      <c r="I54" s="106">
        <f>SUM(I47:I53)</f>
        <v>4056906.114</v>
      </c>
    </row>
    <row r="55" ht="13.5" thickTop="1"/>
    <row r="57" ht="12.75">
      <c r="A57" s="110"/>
    </row>
  </sheetData>
  <sheetProtection/>
  <printOptions horizontalCentered="1"/>
  <pageMargins left="1" right="1" top="1" bottom="1" header="0.5" footer="0.5"/>
  <pageSetup fitToHeight="1" fitToWidth="1"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29"/>
  <sheetViews>
    <sheetView view="pageBreakPreview" zoomScale="60" zoomScalePageLayoutView="0" workbookViewId="0" topLeftCell="A67">
      <selection activeCell="C88" sqref="C88"/>
    </sheetView>
  </sheetViews>
  <sheetFormatPr defaultColWidth="10.66015625" defaultRowHeight="10.5"/>
  <cols>
    <col min="1" max="1" width="8" style="111" customWidth="1"/>
    <col min="2" max="2" width="14.83203125" style="113" customWidth="1"/>
    <col min="3" max="3" width="48" style="113" customWidth="1"/>
    <col min="4" max="4" width="17.33203125" style="113" customWidth="1"/>
    <col min="5" max="15" width="16.16015625" style="113" hidden="1" customWidth="1"/>
    <col min="16" max="16" width="18" style="113" customWidth="1"/>
    <col min="17" max="17" width="18.83203125" style="113" customWidth="1"/>
    <col min="18" max="18" width="19.33203125" style="113" customWidth="1"/>
    <col min="19" max="19" width="19.16015625" style="113" customWidth="1"/>
    <col min="20" max="20" width="18.83203125" style="113" customWidth="1"/>
    <col min="21" max="21" width="20.16015625" style="113" customWidth="1"/>
    <col min="22" max="22" width="15" style="113" bestFit="1" customWidth="1"/>
    <col min="23" max="16384" width="10.66015625" style="113" customWidth="1"/>
  </cols>
  <sheetData>
    <row r="1" spans="2:20" ht="18">
      <c r="B1" s="112" t="s">
        <v>99</v>
      </c>
      <c r="G1" s="114"/>
      <c r="S1" s="96"/>
      <c r="T1" s="4"/>
    </row>
    <row r="2" spans="1:20" ht="12.75">
      <c r="A2" s="111" t="s">
        <v>1</v>
      </c>
      <c r="B2" s="115" t="s">
        <v>100</v>
      </c>
      <c r="S2" s="96"/>
      <c r="T2" s="5"/>
    </row>
    <row r="3" spans="1:20" ht="12.75">
      <c r="A3" s="111">
        <f>ROW()</f>
        <v>3</v>
      </c>
      <c r="C3" s="113" t="s">
        <v>65</v>
      </c>
      <c r="D3" s="116">
        <f>Q67</f>
        <v>728146067.5649999</v>
      </c>
      <c r="S3" s="96"/>
      <c r="T3" s="7"/>
    </row>
    <row r="4" spans="1:20" ht="12.75">
      <c r="A4" s="111">
        <f>ROW()</f>
        <v>4</v>
      </c>
      <c r="C4" s="113" t="s">
        <v>101</v>
      </c>
      <c r="D4" s="117">
        <f>T67</f>
        <v>-431600070.94499993</v>
      </c>
      <c r="S4" s="96"/>
      <c r="T4" s="118"/>
    </row>
    <row r="5" spans="1:20" ht="12.75">
      <c r="A5" s="111">
        <f>ROW()</f>
        <v>5</v>
      </c>
      <c r="C5" s="119" t="s">
        <v>102</v>
      </c>
      <c r="D5" s="120">
        <v>-63386506.00000001</v>
      </c>
      <c r="S5" s="96"/>
      <c r="T5" s="96"/>
    </row>
    <row r="6" spans="1:20" ht="12.75">
      <c r="A6" s="111">
        <f>ROW()</f>
        <v>6</v>
      </c>
      <c r="C6" s="113" t="s">
        <v>103</v>
      </c>
      <c r="D6" s="121">
        <f>SUM(D3:D5)</f>
        <v>233159490.62</v>
      </c>
      <c r="S6" s="122"/>
      <c r="T6" s="96"/>
    </row>
    <row r="7" spans="1:4" ht="12.75">
      <c r="A7" s="111">
        <f>ROW()</f>
        <v>7</v>
      </c>
      <c r="C7" s="113" t="s">
        <v>104</v>
      </c>
      <c r="D7" s="123">
        <v>0.0738</v>
      </c>
    </row>
    <row r="8" spans="1:16" ht="12.75">
      <c r="A8" s="111">
        <f>ROW()</f>
        <v>8</v>
      </c>
      <c r="C8" s="113" t="s">
        <v>105</v>
      </c>
      <c r="D8" s="124">
        <f>D6*D7</f>
        <v>17207170.407756</v>
      </c>
      <c r="P8" s="113" t="s">
        <v>106</v>
      </c>
    </row>
    <row r="9" spans="1:19" ht="12.75">
      <c r="A9" s="111">
        <f>ROW()</f>
        <v>9</v>
      </c>
      <c r="C9" s="113" t="s">
        <v>107</v>
      </c>
      <c r="D9" s="124">
        <f>D8/(1-0.35)</f>
        <v>26472569.858086154</v>
      </c>
      <c r="P9" s="113" t="s">
        <v>108</v>
      </c>
      <c r="S9" s="125">
        <v>0.35</v>
      </c>
    </row>
    <row r="10" spans="1:4" ht="12.75">
      <c r="A10" s="111">
        <f>ROW()</f>
        <v>10</v>
      </c>
      <c r="C10" s="113" t="s">
        <v>109</v>
      </c>
      <c r="D10" s="126">
        <f>D108</f>
        <v>59566276.462850004</v>
      </c>
    </row>
    <row r="11" spans="1:16" ht="12.75">
      <c r="A11" s="111">
        <f>ROW()</f>
        <v>11</v>
      </c>
      <c r="C11" s="113" t="s">
        <v>110</v>
      </c>
      <c r="D11" s="124">
        <f>D10+D9</f>
        <v>86038846.32093616</v>
      </c>
      <c r="P11" s="113" t="s">
        <v>111</v>
      </c>
    </row>
    <row r="12" ht="12.75">
      <c r="A12" s="111">
        <f>ROW()</f>
        <v>12</v>
      </c>
    </row>
    <row r="13" spans="1:2" ht="12.75">
      <c r="A13" s="111">
        <f>ROW()</f>
        <v>13</v>
      </c>
      <c r="B13" s="113" t="s">
        <v>112</v>
      </c>
    </row>
    <row r="14" spans="1:20" s="131" customFormat="1" ht="25.5">
      <c r="A14" s="127">
        <f>ROW()</f>
        <v>14</v>
      </c>
      <c r="B14" s="128" t="s">
        <v>113</v>
      </c>
      <c r="C14" s="128" t="s">
        <v>114</v>
      </c>
      <c r="D14" s="129" t="s">
        <v>115</v>
      </c>
      <c r="E14" s="129" t="s">
        <v>116</v>
      </c>
      <c r="F14" s="129" t="s">
        <v>117</v>
      </c>
      <c r="G14" s="129" t="s">
        <v>118</v>
      </c>
      <c r="H14" s="129" t="s">
        <v>119</v>
      </c>
      <c r="I14" s="129" t="s">
        <v>120</v>
      </c>
      <c r="J14" s="129" t="s">
        <v>121</v>
      </c>
      <c r="K14" s="129" t="s">
        <v>122</v>
      </c>
      <c r="L14" s="129" t="s">
        <v>123</v>
      </c>
      <c r="M14" s="129" t="s">
        <v>124</v>
      </c>
      <c r="N14" s="129" t="s">
        <v>125</v>
      </c>
      <c r="O14" s="129" t="s">
        <v>126</v>
      </c>
      <c r="P14" s="129" t="s">
        <v>127</v>
      </c>
      <c r="Q14" s="130" t="s">
        <v>128</v>
      </c>
      <c r="R14" s="130" t="s">
        <v>129</v>
      </c>
      <c r="S14" s="130" t="s">
        <v>130</v>
      </c>
      <c r="T14" s="130" t="s">
        <v>131</v>
      </c>
    </row>
    <row r="15" spans="1:21" s="140" customFormat="1" ht="12.75">
      <c r="A15" s="132">
        <f>ROW()</f>
        <v>15</v>
      </c>
      <c r="B15" s="133"/>
      <c r="C15" s="134" t="s">
        <v>132</v>
      </c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6"/>
      <c r="R15" s="137"/>
      <c r="S15" s="136"/>
      <c r="T15" s="138"/>
      <c r="U15" s="139"/>
    </row>
    <row r="16" spans="1:20" s="139" customFormat="1" ht="12.75">
      <c r="A16" s="132">
        <f>ROW()</f>
        <v>16</v>
      </c>
      <c r="B16" s="133" t="s">
        <v>133</v>
      </c>
      <c r="C16" s="134" t="s">
        <v>89</v>
      </c>
      <c r="D16" s="141">
        <v>7556</v>
      </c>
      <c r="E16" s="141">
        <v>7556</v>
      </c>
      <c r="F16" s="141">
        <v>7556</v>
      </c>
      <c r="G16" s="141">
        <v>7556</v>
      </c>
      <c r="H16" s="141">
        <v>7664</v>
      </c>
      <c r="I16" s="141">
        <v>7694</v>
      </c>
      <c r="J16" s="141">
        <v>7797</v>
      </c>
      <c r="K16" s="141">
        <v>7797</v>
      </c>
      <c r="L16" s="141">
        <v>7803</v>
      </c>
      <c r="M16" s="141">
        <v>7813</v>
      </c>
      <c r="N16" s="141">
        <v>7825</v>
      </c>
      <c r="O16" s="141">
        <v>7825</v>
      </c>
      <c r="P16" s="141">
        <v>7813</v>
      </c>
      <c r="Q16" s="136">
        <v>7714283</v>
      </c>
      <c r="R16" s="142">
        <v>0.0174</v>
      </c>
      <c r="S16" s="136">
        <v>133717.15</v>
      </c>
      <c r="T16" s="135">
        <v>-4854610.285</v>
      </c>
    </row>
    <row r="17" spans="1:20" s="139" customFormat="1" ht="12.75">
      <c r="A17" s="132">
        <f>ROW()</f>
        <v>17</v>
      </c>
      <c r="B17" s="133" t="s">
        <v>134</v>
      </c>
      <c r="C17" s="134" t="s">
        <v>135</v>
      </c>
      <c r="D17" s="141">
        <v>58225</v>
      </c>
      <c r="E17" s="141">
        <v>64145</v>
      </c>
      <c r="F17" s="141">
        <v>63415</v>
      </c>
      <c r="G17" s="141">
        <v>65580</v>
      </c>
      <c r="H17" s="141">
        <v>58963</v>
      </c>
      <c r="I17" s="141">
        <v>60657</v>
      </c>
      <c r="J17" s="141">
        <v>62211</v>
      </c>
      <c r="K17" s="141">
        <v>67574</v>
      </c>
      <c r="L17" s="141">
        <v>62175</v>
      </c>
      <c r="M17" s="141">
        <v>63997</v>
      </c>
      <c r="N17" s="141">
        <v>63764</v>
      </c>
      <c r="O17" s="141">
        <v>64096</v>
      </c>
      <c r="P17" s="141">
        <v>63085</v>
      </c>
      <c r="Q17" s="136">
        <v>63102694</v>
      </c>
      <c r="R17" s="142">
        <v>0.0169</v>
      </c>
      <c r="S17" s="136">
        <v>1025075.83</v>
      </c>
      <c r="T17" s="135">
        <v>-39110825.53</v>
      </c>
    </row>
    <row r="18" spans="1:20" s="139" customFormat="1" ht="12.75">
      <c r="A18" s="132">
        <f>ROW()</f>
        <v>18</v>
      </c>
      <c r="B18" s="133" t="s">
        <v>136</v>
      </c>
      <c r="C18" s="134" t="s">
        <v>137</v>
      </c>
      <c r="D18" s="141">
        <v>22496</v>
      </c>
      <c r="E18" s="141">
        <v>22496</v>
      </c>
      <c r="F18" s="141">
        <v>22496</v>
      </c>
      <c r="G18" s="141">
        <v>22496</v>
      </c>
      <c r="H18" s="141">
        <v>23673</v>
      </c>
      <c r="I18" s="141">
        <v>23732</v>
      </c>
      <c r="J18" s="141">
        <v>21337</v>
      </c>
      <c r="K18" s="141">
        <v>21337</v>
      </c>
      <c r="L18" s="141">
        <v>21906</v>
      </c>
      <c r="M18" s="141">
        <v>21972</v>
      </c>
      <c r="N18" s="141">
        <v>22182</v>
      </c>
      <c r="O18" s="141">
        <v>22182</v>
      </c>
      <c r="P18" s="141">
        <v>22250</v>
      </c>
      <c r="Q18" s="136">
        <v>22348601</v>
      </c>
      <c r="R18" s="142">
        <v>0.0236</v>
      </c>
      <c r="S18" s="136">
        <v>528005.85</v>
      </c>
      <c r="T18" s="135">
        <v>-9783891.4</v>
      </c>
    </row>
    <row r="19" spans="1:20" s="139" customFormat="1" ht="12.75">
      <c r="A19" s="132">
        <f>ROW()</f>
        <v>19</v>
      </c>
      <c r="B19" s="133" t="s">
        <v>138</v>
      </c>
      <c r="C19" s="134" t="s">
        <v>139</v>
      </c>
      <c r="D19" s="141">
        <v>7180</v>
      </c>
      <c r="E19" s="141">
        <v>7180</v>
      </c>
      <c r="F19" s="141">
        <v>7180</v>
      </c>
      <c r="G19" s="141">
        <v>7180</v>
      </c>
      <c r="H19" s="141">
        <v>7194</v>
      </c>
      <c r="I19" s="141">
        <v>7212</v>
      </c>
      <c r="J19" s="141">
        <v>7234</v>
      </c>
      <c r="K19" s="141">
        <v>7234</v>
      </c>
      <c r="L19" s="141">
        <v>7238</v>
      </c>
      <c r="M19" s="141">
        <v>7238</v>
      </c>
      <c r="N19" s="141">
        <v>7238</v>
      </c>
      <c r="O19" s="141">
        <v>7238</v>
      </c>
      <c r="P19" s="141">
        <v>7238</v>
      </c>
      <c r="Q19" s="136">
        <v>7214849</v>
      </c>
      <c r="R19" s="142">
        <v>0.0093</v>
      </c>
      <c r="S19" s="136">
        <v>67047.24</v>
      </c>
      <c r="T19" s="135">
        <v>-5712650.59</v>
      </c>
    </row>
    <row r="20" spans="1:20" s="139" customFormat="1" ht="12.75">
      <c r="A20" s="132">
        <f>ROW()</f>
        <v>20</v>
      </c>
      <c r="B20" s="133" t="s">
        <v>140</v>
      </c>
      <c r="C20" s="134" t="s">
        <v>141</v>
      </c>
      <c r="D20" s="141">
        <v>804</v>
      </c>
      <c r="E20" s="141">
        <v>804</v>
      </c>
      <c r="F20" s="141">
        <v>804</v>
      </c>
      <c r="G20" s="141">
        <v>804</v>
      </c>
      <c r="H20" s="141">
        <v>829</v>
      </c>
      <c r="I20" s="141">
        <v>851</v>
      </c>
      <c r="J20" s="141">
        <v>882</v>
      </c>
      <c r="K20" s="141">
        <v>882</v>
      </c>
      <c r="L20" s="141">
        <v>926</v>
      </c>
      <c r="M20" s="141">
        <v>930</v>
      </c>
      <c r="N20" s="141">
        <v>929</v>
      </c>
      <c r="O20" s="141">
        <v>929</v>
      </c>
      <c r="P20" s="141">
        <v>924</v>
      </c>
      <c r="Q20" s="136">
        <v>869668</v>
      </c>
      <c r="R20" s="142">
        <v>0.0231</v>
      </c>
      <c r="S20" s="136">
        <v>19955.13</v>
      </c>
      <c r="T20" s="135">
        <v>-369307.42</v>
      </c>
    </row>
    <row r="21" spans="1:20" s="139" customFormat="1" ht="12.75">
      <c r="A21" s="132">
        <f>ROW()</f>
        <v>21</v>
      </c>
      <c r="B21" s="133"/>
      <c r="C21" s="134" t="s">
        <v>142</v>
      </c>
      <c r="D21" s="143">
        <f aca="true" t="shared" si="0" ref="D21:Q21">SUM(D16:D20)</f>
        <v>96261</v>
      </c>
      <c r="E21" s="143">
        <f t="shared" si="0"/>
        <v>102181</v>
      </c>
      <c r="F21" s="143">
        <f t="shared" si="0"/>
        <v>101451</v>
      </c>
      <c r="G21" s="143">
        <f t="shared" si="0"/>
        <v>103616</v>
      </c>
      <c r="H21" s="143">
        <f t="shared" si="0"/>
        <v>98323</v>
      </c>
      <c r="I21" s="143">
        <f t="shared" si="0"/>
        <v>100146</v>
      </c>
      <c r="J21" s="143">
        <f t="shared" si="0"/>
        <v>99461</v>
      </c>
      <c r="K21" s="143">
        <f t="shared" si="0"/>
        <v>104824</v>
      </c>
      <c r="L21" s="143">
        <f t="shared" si="0"/>
        <v>100048</v>
      </c>
      <c r="M21" s="143">
        <f t="shared" si="0"/>
        <v>101950</v>
      </c>
      <c r="N21" s="143">
        <f t="shared" si="0"/>
        <v>101938</v>
      </c>
      <c r="O21" s="143">
        <f t="shared" si="0"/>
        <v>102270</v>
      </c>
      <c r="P21" s="143">
        <f t="shared" si="0"/>
        <v>101310</v>
      </c>
      <c r="Q21" s="143">
        <f t="shared" si="0"/>
        <v>101250095</v>
      </c>
      <c r="R21" s="144">
        <f>ROUND(+S21/Q21,4)</f>
        <v>0.0175</v>
      </c>
      <c r="S21" s="145">
        <f>SUM(S16:S20)</f>
        <v>1773801.2</v>
      </c>
      <c r="T21" s="145">
        <f>SUM(T16:T20)</f>
        <v>-59831285.224999994</v>
      </c>
    </row>
    <row r="22" spans="1:20" s="139" customFormat="1" ht="12.75">
      <c r="A22" s="132">
        <f>ROW()</f>
        <v>22</v>
      </c>
      <c r="B22" s="133"/>
      <c r="C22" s="134" t="s">
        <v>143</v>
      </c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6"/>
      <c r="R22" s="137"/>
      <c r="S22" s="136"/>
      <c r="T22" s="138"/>
    </row>
    <row r="23" spans="1:20" s="139" customFormat="1" ht="12.75">
      <c r="A23" s="132">
        <f>ROW()</f>
        <v>23</v>
      </c>
      <c r="B23" s="133" t="s">
        <v>133</v>
      </c>
      <c r="C23" s="134" t="s">
        <v>89</v>
      </c>
      <c r="D23" s="135">
        <v>5943</v>
      </c>
      <c r="E23" s="135">
        <v>5943</v>
      </c>
      <c r="F23" s="135">
        <v>5943</v>
      </c>
      <c r="G23" s="135">
        <v>5943</v>
      </c>
      <c r="H23" s="135">
        <v>6051</v>
      </c>
      <c r="I23" s="135">
        <v>6081</v>
      </c>
      <c r="J23" s="135">
        <v>6184</v>
      </c>
      <c r="K23" s="135">
        <v>6184</v>
      </c>
      <c r="L23" s="135">
        <v>6190</v>
      </c>
      <c r="M23" s="135">
        <v>6200</v>
      </c>
      <c r="N23" s="135">
        <v>6212</v>
      </c>
      <c r="O23" s="135">
        <v>6212</v>
      </c>
      <c r="P23" s="135">
        <v>6200</v>
      </c>
      <c r="Q23" s="136">
        <v>6101224</v>
      </c>
      <c r="R23" s="142">
        <v>0.0132</v>
      </c>
      <c r="S23" s="136">
        <v>80148.25</v>
      </c>
      <c r="T23" s="135">
        <v>-4493956.42</v>
      </c>
    </row>
    <row r="24" spans="1:20" s="139" customFormat="1" ht="12.75">
      <c r="A24" s="132">
        <f>ROW()</f>
        <v>24</v>
      </c>
      <c r="B24" s="133" t="s">
        <v>134</v>
      </c>
      <c r="C24" s="134" t="s">
        <v>135</v>
      </c>
      <c r="D24" s="135">
        <v>49814</v>
      </c>
      <c r="E24" s="135">
        <v>49814</v>
      </c>
      <c r="F24" s="135">
        <v>49814</v>
      </c>
      <c r="G24" s="135">
        <v>49814</v>
      </c>
      <c r="H24" s="135">
        <v>51784</v>
      </c>
      <c r="I24" s="135">
        <v>52287</v>
      </c>
      <c r="J24" s="135">
        <v>56915</v>
      </c>
      <c r="K24" s="135">
        <v>56915</v>
      </c>
      <c r="L24" s="135">
        <v>58183</v>
      </c>
      <c r="M24" s="135">
        <v>59066</v>
      </c>
      <c r="N24" s="135">
        <v>59462</v>
      </c>
      <c r="O24" s="135">
        <v>59462</v>
      </c>
      <c r="P24" s="135">
        <v>59733</v>
      </c>
      <c r="Q24" s="136">
        <v>54857460</v>
      </c>
      <c r="R24" s="142">
        <v>0.0178</v>
      </c>
      <c r="S24" s="136">
        <v>974968.26</v>
      </c>
      <c r="T24" s="135">
        <v>-32592566.085</v>
      </c>
    </row>
    <row r="25" spans="1:20" s="139" customFormat="1" ht="12.75">
      <c r="A25" s="132">
        <f>ROW()</f>
        <v>25</v>
      </c>
      <c r="B25" s="133" t="s">
        <v>136</v>
      </c>
      <c r="C25" s="134" t="s">
        <v>137</v>
      </c>
      <c r="D25" s="135">
        <v>20626</v>
      </c>
      <c r="E25" s="135">
        <v>20626</v>
      </c>
      <c r="F25" s="135">
        <v>20626</v>
      </c>
      <c r="G25" s="135">
        <v>20626</v>
      </c>
      <c r="H25" s="135">
        <v>23802</v>
      </c>
      <c r="I25" s="135">
        <v>23896</v>
      </c>
      <c r="J25" s="135">
        <v>23494</v>
      </c>
      <c r="K25" s="135">
        <v>23494</v>
      </c>
      <c r="L25" s="135">
        <v>26691</v>
      </c>
      <c r="M25" s="135">
        <v>25375</v>
      </c>
      <c r="N25" s="135">
        <v>26106</v>
      </c>
      <c r="O25" s="135">
        <v>26106</v>
      </c>
      <c r="P25" s="135">
        <v>26718</v>
      </c>
      <c r="Q25" s="136">
        <v>23709296</v>
      </c>
      <c r="R25" s="142">
        <v>0.0229</v>
      </c>
      <c r="S25" s="136">
        <v>542087.88</v>
      </c>
      <c r="T25" s="135">
        <v>-9352306.055</v>
      </c>
    </row>
    <row r="26" spans="1:20" s="139" customFormat="1" ht="12.75">
      <c r="A26" s="132">
        <f>ROW()</f>
        <v>26</v>
      </c>
      <c r="B26" s="133" t="s">
        <v>138</v>
      </c>
      <c r="C26" s="134" t="s">
        <v>139</v>
      </c>
      <c r="D26" s="135">
        <v>5088</v>
      </c>
      <c r="E26" s="135">
        <v>5088</v>
      </c>
      <c r="F26" s="135">
        <v>5088</v>
      </c>
      <c r="G26" s="135">
        <v>5088</v>
      </c>
      <c r="H26" s="135">
        <v>5102</v>
      </c>
      <c r="I26" s="135">
        <v>5119</v>
      </c>
      <c r="J26" s="135">
        <v>5142</v>
      </c>
      <c r="K26" s="135">
        <v>5142</v>
      </c>
      <c r="L26" s="135">
        <v>5146</v>
      </c>
      <c r="M26" s="135">
        <v>5146</v>
      </c>
      <c r="N26" s="135">
        <v>5146</v>
      </c>
      <c r="O26" s="135">
        <v>5146</v>
      </c>
      <c r="P26" s="135">
        <v>5140</v>
      </c>
      <c r="Q26" s="136">
        <v>5122131</v>
      </c>
      <c r="R26" s="142">
        <v>0.0136</v>
      </c>
      <c r="S26" s="136">
        <v>69552.89</v>
      </c>
      <c r="T26" s="135">
        <v>-3436092.465</v>
      </c>
    </row>
    <row r="27" spans="1:20" s="139" customFormat="1" ht="12.75">
      <c r="A27" s="132">
        <f>ROW()</f>
        <v>27</v>
      </c>
      <c r="B27" s="133" t="s">
        <v>140</v>
      </c>
      <c r="C27" s="134" t="s">
        <v>141</v>
      </c>
      <c r="D27" s="135">
        <v>829</v>
      </c>
      <c r="E27" s="135">
        <v>829</v>
      </c>
      <c r="F27" s="135">
        <v>829</v>
      </c>
      <c r="G27" s="135">
        <v>829</v>
      </c>
      <c r="H27" s="135">
        <v>854</v>
      </c>
      <c r="I27" s="135">
        <v>876</v>
      </c>
      <c r="J27" s="135">
        <v>907</v>
      </c>
      <c r="K27" s="135">
        <v>907</v>
      </c>
      <c r="L27" s="135">
        <v>951</v>
      </c>
      <c r="M27" s="135">
        <v>955</v>
      </c>
      <c r="N27" s="135">
        <v>954</v>
      </c>
      <c r="O27" s="135">
        <v>954</v>
      </c>
      <c r="P27" s="135">
        <v>954</v>
      </c>
      <c r="Q27" s="136">
        <v>894667</v>
      </c>
      <c r="R27" s="142">
        <v>0.0238</v>
      </c>
      <c r="S27" s="136">
        <v>21212.62</v>
      </c>
      <c r="T27" s="135">
        <v>-367317.13</v>
      </c>
    </row>
    <row r="28" spans="1:20" s="139" customFormat="1" ht="12.75">
      <c r="A28" s="132">
        <f>ROW()</f>
        <v>28</v>
      </c>
      <c r="B28" s="133"/>
      <c r="C28" s="134" t="s">
        <v>142</v>
      </c>
      <c r="D28" s="143">
        <f aca="true" t="shared" si="1" ref="D28:Q28">SUM(D23:D27)</f>
        <v>82300</v>
      </c>
      <c r="E28" s="143">
        <f t="shared" si="1"/>
        <v>82300</v>
      </c>
      <c r="F28" s="143">
        <f t="shared" si="1"/>
        <v>82300</v>
      </c>
      <c r="G28" s="143">
        <f t="shared" si="1"/>
        <v>82300</v>
      </c>
      <c r="H28" s="143">
        <f t="shared" si="1"/>
        <v>87593</v>
      </c>
      <c r="I28" s="143">
        <f t="shared" si="1"/>
        <v>88259</v>
      </c>
      <c r="J28" s="143">
        <f t="shared" si="1"/>
        <v>92642</v>
      </c>
      <c r="K28" s="143">
        <f t="shared" si="1"/>
        <v>92642</v>
      </c>
      <c r="L28" s="143">
        <f t="shared" si="1"/>
        <v>97161</v>
      </c>
      <c r="M28" s="143">
        <f t="shared" si="1"/>
        <v>96742</v>
      </c>
      <c r="N28" s="143">
        <f t="shared" si="1"/>
        <v>97880</v>
      </c>
      <c r="O28" s="143">
        <f t="shared" si="1"/>
        <v>97880</v>
      </c>
      <c r="P28" s="143">
        <f t="shared" si="1"/>
        <v>98745</v>
      </c>
      <c r="Q28" s="143">
        <f t="shared" si="1"/>
        <v>90684778</v>
      </c>
      <c r="R28" s="144">
        <f>ROUND(+S28/Q28,4)</f>
        <v>0.0186</v>
      </c>
      <c r="S28" s="145">
        <f>SUM(S23:S27)</f>
        <v>1687969.9000000001</v>
      </c>
      <c r="T28" s="143">
        <f>SUM(T23:T27)</f>
        <v>-50242238.15500001</v>
      </c>
    </row>
    <row r="29" spans="1:20" s="139" customFormat="1" ht="12.75">
      <c r="A29" s="132">
        <f>ROW()</f>
        <v>29</v>
      </c>
      <c r="B29" s="133"/>
      <c r="C29" s="134" t="s">
        <v>144</v>
      </c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6"/>
      <c r="R29" s="137"/>
      <c r="S29" s="136"/>
      <c r="T29" s="138"/>
    </row>
    <row r="30" spans="1:20" s="139" customFormat="1" ht="12.75">
      <c r="A30" s="132">
        <f>ROW()</f>
        <v>30</v>
      </c>
      <c r="B30" s="133" t="s">
        <v>133</v>
      </c>
      <c r="C30" s="134" t="s">
        <v>89</v>
      </c>
      <c r="D30" s="135">
        <v>31349</v>
      </c>
      <c r="E30" s="135">
        <v>31349</v>
      </c>
      <c r="F30" s="135">
        <v>31349</v>
      </c>
      <c r="G30" s="135">
        <v>31349</v>
      </c>
      <c r="H30" s="135">
        <v>31349</v>
      </c>
      <c r="I30" s="135">
        <v>31349</v>
      </c>
      <c r="J30" s="135">
        <v>31349</v>
      </c>
      <c r="K30" s="135">
        <v>31349</v>
      </c>
      <c r="L30" s="135">
        <v>31349</v>
      </c>
      <c r="M30" s="135">
        <v>31349</v>
      </c>
      <c r="N30" s="135">
        <v>31349</v>
      </c>
      <c r="O30" s="135">
        <v>31349</v>
      </c>
      <c r="P30" s="135">
        <v>31278</v>
      </c>
      <c r="Q30" s="136">
        <v>31346065</v>
      </c>
      <c r="R30" s="142">
        <v>0.0123</v>
      </c>
      <c r="S30" s="136">
        <v>297019.65</v>
      </c>
      <c r="T30" s="135">
        <v>-24894140.7</v>
      </c>
    </row>
    <row r="31" spans="1:20" s="139" customFormat="1" ht="12.75">
      <c r="A31" s="132">
        <f>ROW()</f>
        <v>31</v>
      </c>
      <c r="B31" s="133" t="s">
        <v>134</v>
      </c>
      <c r="C31" s="134" t="s">
        <v>135</v>
      </c>
      <c r="D31" s="135">
        <v>6222</v>
      </c>
      <c r="E31" s="135">
        <v>6222</v>
      </c>
      <c r="F31" s="135">
        <v>6222</v>
      </c>
      <c r="G31" s="135">
        <v>6222</v>
      </c>
      <c r="H31" s="135">
        <v>6222</v>
      </c>
      <c r="I31" s="135">
        <v>6222</v>
      </c>
      <c r="J31" s="135">
        <v>6222</v>
      </c>
      <c r="K31" s="135">
        <v>6222</v>
      </c>
      <c r="L31" s="135">
        <v>6222</v>
      </c>
      <c r="M31" s="135">
        <v>6222</v>
      </c>
      <c r="N31" s="135">
        <v>6222</v>
      </c>
      <c r="O31" s="135">
        <v>6222</v>
      </c>
      <c r="P31" s="135">
        <v>6222</v>
      </c>
      <c r="Q31" s="136">
        <v>6222182</v>
      </c>
      <c r="R31" s="142">
        <v>0.0127</v>
      </c>
      <c r="S31" s="136">
        <v>79021.68</v>
      </c>
      <c r="T31" s="135">
        <v>-4623583.8</v>
      </c>
    </row>
    <row r="32" spans="1:20" s="139" customFormat="1" ht="12.75">
      <c r="A32" s="132">
        <f>ROW()</f>
        <v>32</v>
      </c>
      <c r="B32" s="133" t="s">
        <v>136</v>
      </c>
      <c r="C32" s="134" t="s">
        <v>137</v>
      </c>
      <c r="D32" s="135">
        <v>3844</v>
      </c>
      <c r="E32" s="135">
        <v>3844</v>
      </c>
      <c r="F32" s="135">
        <v>3844</v>
      </c>
      <c r="G32" s="135">
        <v>3844</v>
      </c>
      <c r="H32" s="135">
        <v>3844</v>
      </c>
      <c r="I32" s="135">
        <v>3844</v>
      </c>
      <c r="J32" s="135">
        <v>3844</v>
      </c>
      <c r="K32" s="135">
        <v>3844</v>
      </c>
      <c r="L32" s="135">
        <v>3844</v>
      </c>
      <c r="M32" s="135">
        <v>3844</v>
      </c>
      <c r="N32" s="135">
        <v>3844</v>
      </c>
      <c r="O32" s="135">
        <v>3844</v>
      </c>
      <c r="P32" s="135">
        <v>3844</v>
      </c>
      <c r="Q32" s="136">
        <v>3844103</v>
      </c>
      <c r="R32" s="142">
        <v>0.0124</v>
      </c>
      <c r="S32" s="136">
        <v>47666.88</v>
      </c>
      <c r="T32" s="135">
        <v>-3154542.6</v>
      </c>
    </row>
    <row r="33" spans="1:20" s="139" customFormat="1" ht="12.75">
      <c r="A33" s="132">
        <f>ROW()</f>
        <v>33</v>
      </c>
      <c r="B33" s="133" t="s">
        <v>138</v>
      </c>
      <c r="C33" s="134" t="s">
        <v>139</v>
      </c>
      <c r="D33" s="135">
        <v>2375</v>
      </c>
      <c r="E33" s="135">
        <v>2375</v>
      </c>
      <c r="F33" s="135">
        <v>2375</v>
      </c>
      <c r="G33" s="135">
        <v>2375</v>
      </c>
      <c r="H33" s="135">
        <v>2375</v>
      </c>
      <c r="I33" s="135">
        <v>2375</v>
      </c>
      <c r="J33" s="135">
        <v>2375</v>
      </c>
      <c r="K33" s="135">
        <v>2375</v>
      </c>
      <c r="L33" s="135">
        <v>2375</v>
      </c>
      <c r="M33" s="135">
        <v>2375</v>
      </c>
      <c r="N33" s="135">
        <v>2375</v>
      </c>
      <c r="O33" s="135">
        <v>2375</v>
      </c>
      <c r="P33" s="135">
        <v>2375</v>
      </c>
      <c r="Q33" s="136">
        <v>2375376</v>
      </c>
      <c r="R33" s="142">
        <v>0.0114</v>
      </c>
      <c r="S33" s="136">
        <v>27079.32</v>
      </c>
      <c r="T33" s="135">
        <v>-1772102.05</v>
      </c>
    </row>
    <row r="34" spans="1:20" s="139" customFormat="1" ht="12.75">
      <c r="A34" s="132">
        <f>ROW()</f>
        <v>34</v>
      </c>
      <c r="B34" s="133" t="s">
        <v>140</v>
      </c>
      <c r="C34" s="134" t="s">
        <v>141</v>
      </c>
      <c r="D34" s="135">
        <v>6273</v>
      </c>
      <c r="E34" s="135">
        <v>6273</v>
      </c>
      <c r="F34" s="135">
        <v>6273</v>
      </c>
      <c r="G34" s="135">
        <v>6273</v>
      </c>
      <c r="H34" s="135">
        <v>6273</v>
      </c>
      <c r="I34" s="135">
        <v>6273</v>
      </c>
      <c r="J34" s="135">
        <v>6273</v>
      </c>
      <c r="K34" s="135">
        <v>6273</v>
      </c>
      <c r="L34" s="135">
        <v>6273</v>
      </c>
      <c r="M34" s="135">
        <v>6273</v>
      </c>
      <c r="N34" s="135">
        <v>6273</v>
      </c>
      <c r="O34" s="135">
        <v>6273</v>
      </c>
      <c r="P34" s="135">
        <v>6273</v>
      </c>
      <c r="Q34" s="136">
        <v>6272869</v>
      </c>
      <c r="R34" s="142">
        <v>0.014</v>
      </c>
      <c r="S34" s="136">
        <v>87820.2</v>
      </c>
      <c r="T34" s="135">
        <v>-4556485.6</v>
      </c>
    </row>
    <row r="35" spans="1:20" s="139" customFormat="1" ht="12.75">
      <c r="A35" s="132">
        <f>ROW()</f>
        <v>35</v>
      </c>
      <c r="B35" s="133" t="s">
        <v>145</v>
      </c>
      <c r="C35" s="134" t="s">
        <v>146</v>
      </c>
      <c r="D35" s="135">
        <v>540</v>
      </c>
      <c r="E35" s="135">
        <v>540</v>
      </c>
      <c r="F35" s="135">
        <v>540</v>
      </c>
      <c r="G35" s="135">
        <v>540</v>
      </c>
      <c r="H35" s="135">
        <v>540</v>
      </c>
      <c r="I35" s="135">
        <v>540</v>
      </c>
      <c r="J35" s="135">
        <v>540</v>
      </c>
      <c r="K35" s="135">
        <v>540</v>
      </c>
      <c r="L35" s="135">
        <v>540</v>
      </c>
      <c r="M35" s="135">
        <v>540</v>
      </c>
      <c r="N35" s="135">
        <v>540</v>
      </c>
      <c r="O35" s="135">
        <v>540</v>
      </c>
      <c r="P35" s="135">
        <v>540</v>
      </c>
      <c r="Q35" s="136">
        <v>540097</v>
      </c>
      <c r="R35" s="142">
        <v>0</v>
      </c>
      <c r="S35" s="136">
        <v>15431</v>
      </c>
      <c r="T35" s="135">
        <v>-439792</v>
      </c>
    </row>
    <row r="36" spans="1:20" s="139" customFormat="1" ht="12.75">
      <c r="A36" s="132">
        <f>ROW()</f>
        <v>36</v>
      </c>
      <c r="B36" s="133"/>
      <c r="C36" s="134" t="s">
        <v>142</v>
      </c>
      <c r="D36" s="143">
        <f aca="true" t="shared" si="2" ref="D36:Q36">SUM(D30:D35)</f>
        <v>50603</v>
      </c>
      <c r="E36" s="143">
        <f t="shared" si="2"/>
        <v>50603</v>
      </c>
      <c r="F36" s="143">
        <f t="shared" si="2"/>
        <v>50603</v>
      </c>
      <c r="G36" s="143">
        <f t="shared" si="2"/>
        <v>50603</v>
      </c>
      <c r="H36" s="143">
        <f t="shared" si="2"/>
        <v>50603</v>
      </c>
      <c r="I36" s="143">
        <f t="shared" si="2"/>
        <v>50603</v>
      </c>
      <c r="J36" s="143">
        <f t="shared" si="2"/>
        <v>50603</v>
      </c>
      <c r="K36" s="143">
        <f t="shared" si="2"/>
        <v>50603</v>
      </c>
      <c r="L36" s="143">
        <f t="shared" si="2"/>
        <v>50603</v>
      </c>
      <c r="M36" s="143">
        <f t="shared" si="2"/>
        <v>50603</v>
      </c>
      <c r="N36" s="143">
        <f t="shared" si="2"/>
        <v>50603</v>
      </c>
      <c r="O36" s="143">
        <f t="shared" si="2"/>
        <v>50603</v>
      </c>
      <c r="P36" s="143">
        <f t="shared" si="2"/>
        <v>50532</v>
      </c>
      <c r="Q36" s="143">
        <f t="shared" si="2"/>
        <v>50600692</v>
      </c>
      <c r="R36" s="144">
        <f>ROUND(+S36/Q36,4)</f>
        <v>0.0109</v>
      </c>
      <c r="S36" s="145">
        <f>SUM(S30:S35)</f>
        <v>554038.73</v>
      </c>
      <c r="T36" s="145">
        <f>SUM(T30:T35)</f>
        <v>-39440646.75</v>
      </c>
    </row>
    <row r="37" spans="1:20" s="139" customFormat="1" ht="12.75">
      <c r="A37" s="132">
        <f>ROW()</f>
        <v>37</v>
      </c>
      <c r="B37" s="133"/>
      <c r="C37" s="134" t="s">
        <v>147</v>
      </c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6"/>
      <c r="R37" s="137"/>
      <c r="S37" s="136"/>
      <c r="T37" s="138"/>
    </row>
    <row r="38" spans="1:20" s="139" customFormat="1" ht="12.75">
      <c r="A38" s="132">
        <f>ROW()</f>
        <v>38</v>
      </c>
      <c r="B38" s="133" t="s">
        <v>133</v>
      </c>
      <c r="C38" s="134" t="s">
        <v>89</v>
      </c>
      <c r="D38" s="135">
        <v>29059</v>
      </c>
      <c r="E38" s="135">
        <v>29059</v>
      </c>
      <c r="F38" s="135">
        <v>29059</v>
      </c>
      <c r="G38" s="135">
        <v>29059</v>
      </c>
      <c r="H38" s="135">
        <v>29067</v>
      </c>
      <c r="I38" s="135">
        <v>29073</v>
      </c>
      <c r="J38" s="135">
        <v>29112</v>
      </c>
      <c r="K38" s="135">
        <v>29112</v>
      </c>
      <c r="L38" s="135">
        <v>29115</v>
      </c>
      <c r="M38" s="135">
        <v>29120</v>
      </c>
      <c r="N38" s="135">
        <v>29120</v>
      </c>
      <c r="O38" s="135">
        <v>29120</v>
      </c>
      <c r="P38" s="135">
        <v>29123</v>
      </c>
      <c r="Q38" s="136">
        <v>29092312</v>
      </c>
      <c r="R38" s="142">
        <v>0.0133</v>
      </c>
      <c r="S38" s="136">
        <v>386907.97</v>
      </c>
      <c r="T38" s="135">
        <v>-18831112.345</v>
      </c>
    </row>
    <row r="39" spans="1:20" s="139" customFormat="1" ht="12.75">
      <c r="A39" s="132">
        <f>ROW()</f>
        <v>39</v>
      </c>
      <c r="B39" s="133" t="s">
        <v>134</v>
      </c>
      <c r="C39" s="134" t="s">
        <v>135</v>
      </c>
      <c r="D39" s="135">
        <v>123948</v>
      </c>
      <c r="E39" s="135">
        <v>124419</v>
      </c>
      <c r="F39" s="135">
        <v>124455</v>
      </c>
      <c r="G39" s="135">
        <v>124708</v>
      </c>
      <c r="H39" s="135">
        <v>124262</v>
      </c>
      <c r="I39" s="135">
        <v>124725</v>
      </c>
      <c r="J39" s="135">
        <v>124598</v>
      </c>
      <c r="K39" s="135">
        <v>124886</v>
      </c>
      <c r="L39" s="135">
        <v>124721</v>
      </c>
      <c r="M39" s="135">
        <v>125005</v>
      </c>
      <c r="N39" s="135">
        <v>125286</v>
      </c>
      <c r="O39" s="135">
        <v>125567</v>
      </c>
      <c r="P39" s="135">
        <v>125116</v>
      </c>
      <c r="Q39" s="136">
        <v>124763575</v>
      </c>
      <c r="R39" s="142">
        <v>0.0144</v>
      </c>
      <c r="S39" s="136">
        <v>1793256.43</v>
      </c>
      <c r="T39" s="135">
        <v>-80229153.575</v>
      </c>
    </row>
    <row r="40" spans="1:20" s="139" customFormat="1" ht="12.75">
      <c r="A40" s="132">
        <f>ROW()</f>
        <v>40</v>
      </c>
      <c r="B40" s="133" t="s">
        <v>136</v>
      </c>
      <c r="C40" s="134" t="s">
        <v>137</v>
      </c>
      <c r="D40" s="135">
        <v>39774</v>
      </c>
      <c r="E40" s="135">
        <v>39774</v>
      </c>
      <c r="F40" s="135">
        <v>39774</v>
      </c>
      <c r="G40" s="135">
        <v>39774</v>
      </c>
      <c r="H40" s="135">
        <v>39791</v>
      </c>
      <c r="I40" s="135">
        <v>39791</v>
      </c>
      <c r="J40" s="135">
        <v>39793</v>
      </c>
      <c r="K40" s="135">
        <v>39793</v>
      </c>
      <c r="L40" s="135">
        <v>39866</v>
      </c>
      <c r="M40" s="135">
        <v>39870</v>
      </c>
      <c r="N40" s="135">
        <v>39870</v>
      </c>
      <c r="O40" s="135">
        <v>39870</v>
      </c>
      <c r="P40" s="135">
        <v>38556</v>
      </c>
      <c r="Q40" s="136">
        <v>39760916</v>
      </c>
      <c r="R40" s="142">
        <v>0.0187</v>
      </c>
      <c r="S40" s="136">
        <v>732387.26</v>
      </c>
      <c r="T40" s="135">
        <v>-17927707.755</v>
      </c>
    </row>
    <row r="41" spans="1:20" s="139" customFormat="1" ht="12.75">
      <c r="A41" s="132">
        <f>ROW()</f>
        <v>41</v>
      </c>
      <c r="B41" s="133" t="s">
        <v>138</v>
      </c>
      <c r="C41" s="134" t="s">
        <v>139</v>
      </c>
      <c r="D41" s="135">
        <v>6461</v>
      </c>
      <c r="E41" s="135">
        <v>6461</v>
      </c>
      <c r="F41" s="135">
        <v>6461</v>
      </c>
      <c r="G41" s="135">
        <v>6461</v>
      </c>
      <c r="H41" s="135">
        <v>6461</v>
      </c>
      <c r="I41" s="135">
        <v>6461</v>
      </c>
      <c r="J41" s="135">
        <v>6461</v>
      </c>
      <c r="K41" s="135">
        <v>6461</v>
      </c>
      <c r="L41" s="135">
        <v>6461</v>
      </c>
      <c r="M41" s="135">
        <v>6461</v>
      </c>
      <c r="N41" s="135">
        <v>6461</v>
      </c>
      <c r="O41" s="135">
        <v>6461</v>
      </c>
      <c r="P41" s="135">
        <v>6461</v>
      </c>
      <c r="Q41" s="136">
        <v>6460699</v>
      </c>
      <c r="R41" s="142">
        <v>0.0128</v>
      </c>
      <c r="S41" s="136">
        <v>82696.92</v>
      </c>
      <c r="T41" s="135">
        <v>-3917808.7</v>
      </c>
    </row>
    <row r="42" spans="1:20" s="139" customFormat="1" ht="12.75">
      <c r="A42" s="132">
        <f>ROW()</f>
        <v>42</v>
      </c>
      <c r="B42" s="133" t="s">
        <v>140</v>
      </c>
      <c r="C42" s="134" t="s">
        <v>141</v>
      </c>
      <c r="D42" s="135">
        <v>708</v>
      </c>
      <c r="E42" s="135">
        <v>708</v>
      </c>
      <c r="F42" s="135">
        <v>708</v>
      </c>
      <c r="G42" s="135">
        <v>708</v>
      </c>
      <c r="H42" s="135">
        <v>725</v>
      </c>
      <c r="I42" s="135">
        <v>740</v>
      </c>
      <c r="J42" s="135">
        <v>764</v>
      </c>
      <c r="K42" s="135">
        <v>764</v>
      </c>
      <c r="L42" s="135">
        <v>779</v>
      </c>
      <c r="M42" s="135">
        <v>782</v>
      </c>
      <c r="N42" s="135">
        <v>782</v>
      </c>
      <c r="O42" s="135">
        <v>782</v>
      </c>
      <c r="P42" s="135">
        <v>782</v>
      </c>
      <c r="Q42" s="136">
        <v>748895</v>
      </c>
      <c r="R42" s="142">
        <v>0.0201</v>
      </c>
      <c r="S42" s="136">
        <v>14972.16</v>
      </c>
      <c r="T42" s="135">
        <v>-288324.035</v>
      </c>
    </row>
    <row r="43" spans="1:20" s="139" customFormat="1" ht="12.75">
      <c r="A43" s="132">
        <f>ROW()</f>
        <v>43</v>
      </c>
      <c r="B43" s="133"/>
      <c r="C43" s="134" t="s">
        <v>142</v>
      </c>
      <c r="D43" s="143">
        <f aca="true" t="shared" si="3" ref="D43:Q43">SUM(D38:D42)</f>
        <v>199950</v>
      </c>
      <c r="E43" s="143">
        <f t="shared" si="3"/>
        <v>200421</v>
      </c>
      <c r="F43" s="143">
        <f t="shared" si="3"/>
        <v>200457</v>
      </c>
      <c r="G43" s="143">
        <f t="shared" si="3"/>
        <v>200710</v>
      </c>
      <c r="H43" s="143">
        <f t="shared" si="3"/>
        <v>200306</v>
      </c>
      <c r="I43" s="143">
        <f t="shared" si="3"/>
        <v>200790</v>
      </c>
      <c r="J43" s="143">
        <f t="shared" si="3"/>
        <v>200728</v>
      </c>
      <c r="K43" s="143">
        <f t="shared" si="3"/>
        <v>201016</v>
      </c>
      <c r="L43" s="143">
        <f t="shared" si="3"/>
        <v>200942</v>
      </c>
      <c r="M43" s="143">
        <f t="shared" si="3"/>
        <v>201238</v>
      </c>
      <c r="N43" s="143">
        <f t="shared" si="3"/>
        <v>201519</v>
      </c>
      <c r="O43" s="143">
        <f t="shared" si="3"/>
        <v>201800</v>
      </c>
      <c r="P43" s="143">
        <f t="shared" si="3"/>
        <v>200038</v>
      </c>
      <c r="Q43" s="143">
        <f t="shared" si="3"/>
        <v>200826397</v>
      </c>
      <c r="R43" s="144">
        <f>ROUND(+S43/Q43,4)</f>
        <v>0.015</v>
      </c>
      <c r="S43" s="145">
        <f>SUM(S38:S42)</f>
        <v>3010220.74</v>
      </c>
      <c r="T43" s="145">
        <f>SUM(T38:T42)</f>
        <v>-121194106.41</v>
      </c>
    </row>
    <row r="44" spans="1:20" s="139" customFormat="1" ht="12.75">
      <c r="A44" s="132">
        <f>ROW()</f>
        <v>44</v>
      </c>
      <c r="B44" s="133"/>
      <c r="C44" s="134" t="s">
        <v>148</v>
      </c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6"/>
      <c r="R44" s="137"/>
      <c r="S44" s="136"/>
      <c r="T44" s="138"/>
    </row>
    <row r="45" spans="1:20" s="139" customFormat="1" ht="12.75">
      <c r="A45" s="132">
        <f>ROW()</f>
        <v>45</v>
      </c>
      <c r="B45" s="133" t="s">
        <v>133</v>
      </c>
      <c r="C45" s="134" t="s">
        <v>89</v>
      </c>
      <c r="D45" s="135">
        <v>26601</v>
      </c>
      <c r="E45" s="135">
        <v>26601</v>
      </c>
      <c r="F45" s="135">
        <v>26601</v>
      </c>
      <c r="G45" s="135">
        <v>26601</v>
      </c>
      <c r="H45" s="135">
        <v>26609</v>
      </c>
      <c r="I45" s="135">
        <v>26615</v>
      </c>
      <c r="J45" s="135">
        <v>26654</v>
      </c>
      <c r="K45" s="135">
        <v>26654</v>
      </c>
      <c r="L45" s="135">
        <v>26657</v>
      </c>
      <c r="M45" s="135">
        <v>26662</v>
      </c>
      <c r="N45" s="135">
        <v>26662</v>
      </c>
      <c r="O45" s="135">
        <v>26662</v>
      </c>
      <c r="P45" s="135">
        <v>26665</v>
      </c>
      <c r="Q45" s="136">
        <v>26634323</v>
      </c>
      <c r="R45" s="142">
        <v>0.0142</v>
      </c>
      <c r="S45" s="136">
        <v>378186.26</v>
      </c>
      <c r="T45" s="135">
        <v>-16049762.97</v>
      </c>
    </row>
    <row r="46" spans="1:20" s="139" customFormat="1" ht="12.75">
      <c r="A46" s="132">
        <f>ROW()</f>
        <v>46</v>
      </c>
      <c r="B46" s="133" t="s">
        <v>134</v>
      </c>
      <c r="C46" s="134" t="s">
        <v>135</v>
      </c>
      <c r="D46" s="135">
        <v>107641</v>
      </c>
      <c r="E46" s="135">
        <v>107641</v>
      </c>
      <c r="F46" s="135">
        <v>107641</v>
      </c>
      <c r="G46" s="135">
        <v>107641</v>
      </c>
      <c r="H46" s="135">
        <v>108003</v>
      </c>
      <c r="I46" s="135">
        <v>108135</v>
      </c>
      <c r="J46" s="135">
        <v>108362</v>
      </c>
      <c r="K46" s="135">
        <v>108362</v>
      </c>
      <c r="L46" s="135">
        <v>108423</v>
      </c>
      <c r="M46" s="135">
        <v>108465</v>
      </c>
      <c r="N46" s="135">
        <v>108465</v>
      </c>
      <c r="O46" s="135">
        <v>108465</v>
      </c>
      <c r="P46" s="135">
        <v>108737</v>
      </c>
      <c r="Q46" s="136">
        <v>108149373</v>
      </c>
      <c r="R46" s="142">
        <v>0.0164</v>
      </c>
      <c r="S46" s="136">
        <v>1774301.87</v>
      </c>
      <c r="T46" s="135">
        <v>-62159670.435</v>
      </c>
    </row>
    <row r="47" spans="1:20" s="139" customFormat="1" ht="12.75">
      <c r="A47" s="132">
        <f>ROW()</f>
        <v>47</v>
      </c>
      <c r="B47" s="133" t="s">
        <v>136</v>
      </c>
      <c r="C47" s="134" t="s">
        <v>137</v>
      </c>
      <c r="D47" s="135">
        <v>37161</v>
      </c>
      <c r="E47" s="135">
        <v>37161</v>
      </c>
      <c r="F47" s="135">
        <v>37161</v>
      </c>
      <c r="G47" s="135">
        <v>37161</v>
      </c>
      <c r="H47" s="135">
        <v>37178</v>
      </c>
      <c r="I47" s="135">
        <v>37178</v>
      </c>
      <c r="J47" s="135">
        <v>37181</v>
      </c>
      <c r="K47" s="135">
        <v>37181</v>
      </c>
      <c r="L47" s="135">
        <v>37253</v>
      </c>
      <c r="M47" s="135">
        <v>37257</v>
      </c>
      <c r="N47" s="135">
        <v>37257</v>
      </c>
      <c r="O47" s="135">
        <v>37257</v>
      </c>
      <c r="P47" s="135">
        <v>36578</v>
      </c>
      <c r="Q47" s="136">
        <v>37174577</v>
      </c>
      <c r="R47" s="142">
        <v>0.0192</v>
      </c>
      <c r="S47" s="136">
        <v>707899.16</v>
      </c>
      <c r="T47" s="135">
        <v>-16716826.115</v>
      </c>
    </row>
    <row r="48" spans="1:20" s="139" customFormat="1" ht="12.75">
      <c r="A48" s="132">
        <f>ROW()</f>
        <v>48</v>
      </c>
      <c r="B48" s="133" t="s">
        <v>138</v>
      </c>
      <c r="C48" s="134" t="s">
        <v>139</v>
      </c>
      <c r="D48" s="135">
        <v>5671</v>
      </c>
      <c r="E48" s="135">
        <v>5671</v>
      </c>
      <c r="F48" s="135">
        <v>5671</v>
      </c>
      <c r="G48" s="135">
        <v>5671</v>
      </c>
      <c r="H48" s="135">
        <v>5671</v>
      </c>
      <c r="I48" s="135">
        <v>5671</v>
      </c>
      <c r="J48" s="135">
        <v>5671</v>
      </c>
      <c r="K48" s="135">
        <v>5671</v>
      </c>
      <c r="L48" s="135">
        <v>5671</v>
      </c>
      <c r="M48" s="135">
        <v>5671</v>
      </c>
      <c r="N48" s="135">
        <v>5671</v>
      </c>
      <c r="O48" s="135">
        <v>5671</v>
      </c>
      <c r="P48" s="135">
        <v>5671</v>
      </c>
      <c r="Q48" s="136">
        <v>5670535</v>
      </c>
      <c r="R48" s="142">
        <v>0.014</v>
      </c>
      <c r="S48" s="136">
        <v>79387.44</v>
      </c>
      <c r="T48" s="135">
        <v>-3127220.5</v>
      </c>
    </row>
    <row r="49" spans="1:20" s="139" customFormat="1" ht="12.75">
      <c r="A49" s="132">
        <f>ROW()</f>
        <v>49</v>
      </c>
      <c r="B49" s="133" t="s">
        <v>140</v>
      </c>
      <c r="C49" s="134" t="s">
        <v>141</v>
      </c>
      <c r="D49" s="135">
        <v>903</v>
      </c>
      <c r="E49" s="135">
        <v>903</v>
      </c>
      <c r="F49" s="135">
        <v>903</v>
      </c>
      <c r="G49" s="135">
        <v>903</v>
      </c>
      <c r="H49" s="135">
        <v>919</v>
      </c>
      <c r="I49" s="135">
        <v>935</v>
      </c>
      <c r="J49" s="135">
        <v>947</v>
      </c>
      <c r="K49" s="135">
        <v>959</v>
      </c>
      <c r="L49" s="135">
        <v>974</v>
      </c>
      <c r="M49" s="135">
        <v>976</v>
      </c>
      <c r="N49" s="135">
        <v>977</v>
      </c>
      <c r="O49" s="135">
        <v>977</v>
      </c>
      <c r="P49" s="135">
        <v>973</v>
      </c>
      <c r="Q49" s="136">
        <v>942407</v>
      </c>
      <c r="R49" s="142">
        <v>0.0193</v>
      </c>
      <c r="S49" s="136">
        <v>18098.83</v>
      </c>
      <c r="T49" s="135">
        <v>-384724.265</v>
      </c>
    </row>
    <row r="50" spans="1:20" s="139" customFormat="1" ht="12.75">
      <c r="A50" s="132">
        <f>ROW()</f>
        <v>50</v>
      </c>
      <c r="B50" s="133"/>
      <c r="C50" s="134" t="s">
        <v>142</v>
      </c>
      <c r="D50" s="143">
        <f aca="true" t="shared" si="4" ref="D50:Q50">SUM(D45:D49)</f>
        <v>177977</v>
      </c>
      <c r="E50" s="143">
        <f t="shared" si="4"/>
        <v>177977</v>
      </c>
      <c r="F50" s="143">
        <f t="shared" si="4"/>
        <v>177977</v>
      </c>
      <c r="G50" s="143">
        <f t="shared" si="4"/>
        <v>177977</v>
      </c>
      <c r="H50" s="143">
        <f t="shared" si="4"/>
        <v>178380</v>
      </c>
      <c r="I50" s="143">
        <f t="shared" si="4"/>
        <v>178534</v>
      </c>
      <c r="J50" s="143">
        <f t="shared" si="4"/>
        <v>178815</v>
      </c>
      <c r="K50" s="143">
        <f t="shared" si="4"/>
        <v>178827</v>
      </c>
      <c r="L50" s="143">
        <f t="shared" si="4"/>
        <v>178978</v>
      </c>
      <c r="M50" s="143">
        <f t="shared" si="4"/>
        <v>179031</v>
      </c>
      <c r="N50" s="143">
        <f t="shared" si="4"/>
        <v>179032</v>
      </c>
      <c r="O50" s="143">
        <f t="shared" si="4"/>
        <v>179032</v>
      </c>
      <c r="P50" s="143">
        <f t="shared" si="4"/>
        <v>178624</v>
      </c>
      <c r="Q50" s="143">
        <f t="shared" si="4"/>
        <v>178571215</v>
      </c>
      <c r="R50" s="144">
        <f>ROUND(+S50/Q50,4)</f>
        <v>0.0166</v>
      </c>
      <c r="S50" s="145">
        <f>SUM(S45:S49)</f>
        <v>2957873.56</v>
      </c>
      <c r="T50" s="145">
        <f>SUM(T45:T49)</f>
        <v>-98438204.285</v>
      </c>
    </row>
    <row r="51" spans="1:20" s="139" customFormat="1" ht="12.75">
      <c r="A51" s="132">
        <f>ROW()</f>
        <v>51</v>
      </c>
      <c r="B51" s="133"/>
      <c r="C51" s="134" t="s">
        <v>149</v>
      </c>
      <c r="D51" s="135"/>
      <c r="E51" s="135" t="s">
        <v>41</v>
      </c>
      <c r="F51" s="135" t="s">
        <v>41</v>
      </c>
      <c r="G51" s="135" t="s">
        <v>41</v>
      </c>
      <c r="H51" s="135" t="s">
        <v>41</v>
      </c>
      <c r="I51" s="135" t="s">
        <v>41</v>
      </c>
      <c r="J51" s="135" t="s">
        <v>41</v>
      </c>
      <c r="K51" s="135" t="s">
        <v>41</v>
      </c>
      <c r="L51" s="135" t="s">
        <v>41</v>
      </c>
      <c r="M51" s="135"/>
      <c r="N51" s="135"/>
      <c r="O51" s="135"/>
      <c r="P51" s="135"/>
      <c r="Q51" s="136"/>
      <c r="R51" s="137"/>
      <c r="S51" s="136"/>
      <c r="T51" s="138"/>
    </row>
    <row r="52" spans="1:20" s="139" customFormat="1" ht="12.75">
      <c r="A52" s="132">
        <f>ROW()</f>
        <v>52</v>
      </c>
      <c r="B52" s="133" t="s">
        <v>133</v>
      </c>
      <c r="C52" s="134" t="s">
        <v>89</v>
      </c>
      <c r="D52" s="135">
        <v>70568</v>
      </c>
      <c r="E52" s="135">
        <v>70568</v>
      </c>
      <c r="F52" s="135">
        <v>70568</v>
      </c>
      <c r="G52" s="135">
        <v>70568</v>
      </c>
      <c r="H52" s="135">
        <v>70568</v>
      </c>
      <c r="I52" s="135">
        <v>70568</v>
      </c>
      <c r="J52" s="135">
        <v>70568</v>
      </c>
      <c r="K52" s="135">
        <v>70566</v>
      </c>
      <c r="L52" s="135">
        <v>70566</v>
      </c>
      <c r="M52" s="135">
        <v>70566</v>
      </c>
      <c r="N52" s="135">
        <v>70566</v>
      </c>
      <c r="O52" s="135">
        <v>70566</v>
      </c>
      <c r="P52" s="135">
        <v>70553</v>
      </c>
      <c r="Q52" s="136">
        <v>70566623</v>
      </c>
      <c r="R52" s="142">
        <v>0.0131</v>
      </c>
      <c r="S52" s="136">
        <v>1201267.08</v>
      </c>
      <c r="T52" s="135">
        <v>-45541113.72</v>
      </c>
    </row>
    <row r="53" spans="1:20" s="139" customFormat="1" ht="12.75">
      <c r="A53" s="132">
        <f>ROW()</f>
        <v>53</v>
      </c>
      <c r="B53" s="133" t="s">
        <v>134</v>
      </c>
      <c r="C53" s="134" t="s">
        <v>135</v>
      </c>
      <c r="D53" s="135">
        <v>16975</v>
      </c>
      <c r="E53" s="135">
        <v>16975</v>
      </c>
      <c r="F53" s="135">
        <v>16975</v>
      </c>
      <c r="G53" s="135">
        <v>16975</v>
      </c>
      <c r="H53" s="135">
        <v>16975</v>
      </c>
      <c r="I53" s="135">
        <v>16975</v>
      </c>
      <c r="J53" s="135">
        <v>16975</v>
      </c>
      <c r="K53" s="135">
        <v>16975</v>
      </c>
      <c r="L53" s="135">
        <v>16975</v>
      </c>
      <c r="M53" s="135">
        <v>16975</v>
      </c>
      <c r="N53" s="135">
        <v>16975</v>
      </c>
      <c r="O53" s="135">
        <v>16975</v>
      </c>
      <c r="P53" s="135">
        <v>16957</v>
      </c>
      <c r="Q53" s="136">
        <v>16973911</v>
      </c>
      <c r="R53" s="142">
        <v>0.0149</v>
      </c>
      <c r="S53" s="136">
        <v>252791.91</v>
      </c>
      <c r="T53" s="135">
        <v>-9701623.6</v>
      </c>
    </row>
    <row r="54" spans="1:20" s="139" customFormat="1" ht="12.75">
      <c r="A54" s="132">
        <f>ROW()</f>
        <v>54</v>
      </c>
      <c r="B54" s="133" t="s">
        <v>136</v>
      </c>
      <c r="C54" s="134" t="s">
        <v>137</v>
      </c>
      <c r="D54" s="135">
        <v>11</v>
      </c>
      <c r="E54" s="135">
        <v>11</v>
      </c>
      <c r="F54" s="135">
        <v>11</v>
      </c>
      <c r="G54" s="135">
        <v>11</v>
      </c>
      <c r="H54" s="135">
        <v>11</v>
      </c>
      <c r="I54" s="135">
        <v>11</v>
      </c>
      <c r="J54" s="135">
        <v>11</v>
      </c>
      <c r="K54" s="135">
        <v>11</v>
      </c>
      <c r="L54" s="135">
        <v>11</v>
      </c>
      <c r="M54" s="135">
        <v>11</v>
      </c>
      <c r="N54" s="135">
        <v>11</v>
      </c>
      <c r="O54" s="135">
        <v>11</v>
      </c>
      <c r="P54" s="135">
        <v>11</v>
      </c>
      <c r="Q54" s="136">
        <v>10515</v>
      </c>
      <c r="R54" s="142">
        <v>0.2655</v>
      </c>
      <c r="S54" s="136">
        <v>2791.8</v>
      </c>
      <c r="T54" s="135">
        <v>110522.55</v>
      </c>
    </row>
    <row r="55" spans="1:20" s="139" customFormat="1" ht="12.75">
      <c r="A55" s="132">
        <f>ROW()</f>
        <v>55</v>
      </c>
      <c r="B55" s="133" t="s">
        <v>138</v>
      </c>
      <c r="C55" s="134" t="s">
        <v>139</v>
      </c>
      <c r="D55" s="135">
        <v>7652</v>
      </c>
      <c r="E55" s="135">
        <v>7652</v>
      </c>
      <c r="F55" s="135">
        <v>7652</v>
      </c>
      <c r="G55" s="135">
        <v>7652</v>
      </c>
      <c r="H55" s="135">
        <v>7652</v>
      </c>
      <c r="I55" s="135">
        <v>7652</v>
      </c>
      <c r="J55" s="135">
        <v>7652</v>
      </c>
      <c r="K55" s="135">
        <v>7652</v>
      </c>
      <c r="L55" s="135">
        <v>7652</v>
      </c>
      <c r="M55" s="135">
        <v>7652</v>
      </c>
      <c r="N55" s="135">
        <v>7652</v>
      </c>
      <c r="O55" s="135">
        <v>7652</v>
      </c>
      <c r="P55" s="135">
        <v>7652</v>
      </c>
      <c r="Q55" s="136">
        <v>7652070</v>
      </c>
      <c r="R55" s="142">
        <v>0.0128</v>
      </c>
      <c r="S55" s="136">
        <v>97946.52</v>
      </c>
      <c r="T55" s="135">
        <v>-4533012.9</v>
      </c>
    </row>
    <row r="56" spans="1:20" s="139" customFormat="1" ht="12.75">
      <c r="A56" s="132">
        <f>ROW()</f>
        <v>56</v>
      </c>
      <c r="B56" s="133" t="s">
        <v>140</v>
      </c>
      <c r="C56" s="134" t="s">
        <v>141</v>
      </c>
      <c r="D56" s="135">
        <v>4594</v>
      </c>
      <c r="E56" s="135">
        <v>4594</v>
      </c>
      <c r="F56" s="135">
        <v>4594</v>
      </c>
      <c r="G56" s="135">
        <v>4594</v>
      </c>
      <c r="H56" s="135">
        <v>4594</v>
      </c>
      <c r="I56" s="135">
        <v>4594</v>
      </c>
      <c r="J56" s="135">
        <v>4594</v>
      </c>
      <c r="K56" s="135">
        <v>4594</v>
      </c>
      <c r="L56" s="135">
        <v>4594</v>
      </c>
      <c r="M56" s="135">
        <v>4594</v>
      </c>
      <c r="N56" s="135">
        <v>4594</v>
      </c>
      <c r="O56" s="135">
        <v>4594</v>
      </c>
      <c r="P56" s="135">
        <v>4594</v>
      </c>
      <c r="Q56" s="136">
        <v>4594270</v>
      </c>
      <c r="R56" s="142">
        <v>0.0163</v>
      </c>
      <c r="S56" s="136">
        <v>74886.6</v>
      </c>
      <c r="T56" s="135">
        <v>-2407722.35</v>
      </c>
    </row>
    <row r="57" spans="1:20" s="139" customFormat="1" ht="12.75">
      <c r="A57" s="132">
        <f>ROW()</f>
        <v>57</v>
      </c>
      <c r="B57" s="133" t="s">
        <v>145</v>
      </c>
      <c r="C57" s="134" t="s">
        <v>146</v>
      </c>
      <c r="D57" s="135">
        <v>334</v>
      </c>
      <c r="E57" s="135">
        <v>334</v>
      </c>
      <c r="F57" s="135">
        <v>334</v>
      </c>
      <c r="G57" s="135">
        <v>334</v>
      </c>
      <c r="H57" s="135">
        <v>334</v>
      </c>
      <c r="I57" s="135">
        <v>334</v>
      </c>
      <c r="J57" s="135">
        <v>334</v>
      </c>
      <c r="K57" s="135">
        <v>334</v>
      </c>
      <c r="L57" s="135">
        <v>334</v>
      </c>
      <c r="M57" s="135">
        <v>334</v>
      </c>
      <c r="N57" s="135">
        <v>334</v>
      </c>
      <c r="O57" s="135">
        <v>334</v>
      </c>
      <c r="P57" s="135">
        <v>334</v>
      </c>
      <c r="Q57" s="136">
        <v>333978</v>
      </c>
      <c r="R57" s="142">
        <v>0</v>
      </c>
      <c r="S57" s="136">
        <v>7590</v>
      </c>
      <c r="T57" s="135">
        <v>-216325</v>
      </c>
    </row>
    <row r="58" spans="1:20" s="139" customFormat="1" ht="12.75">
      <c r="A58" s="132">
        <f>ROW()</f>
        <v>58</v>
      </c>
      <c r="B58" s="133"/>
      <c r="C58" s="134" t="s">
        <v>142</v>
      </c>
      <c r="D58" s="143">
        <f aca="true" t="shared" si="5" ref="D58:Q58">SUM(D52:D57)</f>
        <v>100134</v>
      </c>
      <c r="E58" s="143">
        <f t="shared" si="5"/>
        <v>100134</v>
      </c>
      <c r="F58" s="143">
        <f t="shared" si="5"/>
        <v>100134</v>
      </c>
      <c r="G58" s="143">
        <f t="shared" si="5"/>
        <v>100134</v>
      </c>
      <c r="H58" s="143">
        <f t="shared" si="5"/>
        <v>100134</v>
      </c>
      <c r="I58" s="143">
        <f t="shared" si="5"/>
        <v>100134</v>
      </c>
      <c r="J58" s="143">
        <f t="shared" si="5"/>
        <v>100134</v>
      </c>
      <c r="K58" s="143">
        <f t="shared" si="5"/>
        <v>100132</v>
      </c>
      <c r="L58" s="143">
        <f t="shared" si="5"/>
        <v>100132</v>
      </c>
      <c r="M58" s="143">
        <f t="shared" si="5"/>
        <v>100132</v>
      </c>
      <c r="N58" s="143">
        <f t="shared" si="5"/>
        <v>100132</v>
      </c>
      <c r="O58" s="143">
        <f t="shared" si="5"/>
        <v>100132</v>
      </c>
      <c r="P58" s="143">
        <f t="shared" si="5"/>
        <v>100101</v>
      </c>
      <c r="Q58" s="143">
        <f t="shared" si="5"/>
        <v>100131367</v>
      </c>
      <c r="R58" s="144">
        <f>ROUND(+S58/Q58,4)</f>
        <v>0.0164</v>
      </c>
      <c r="S58" s="145">
        <f>SUM(S52:S57)</f>
        <v>1637273.9100000001</v>
      </c>
      <c r="T58" s="145">
        <f>SUM(T52:T57)</f>
        <v>-62289275.02</v>
      </c>
    </row>
    <row r="59" spans="1:20" s="139" customFormat="1" ht="12.75">
      <c r="A59" s="132">
        <f>ROW()</f>
        <v>59</v>
      </c>
      <c r="B59" s="133"/>
      <c r="C59" s="134" t="s">
        <v>150</v>
      </c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6"/>
      <c r="R59" s="146"/>
      <c r="S59" s="136"/>
      <c r="T59" s="138"/>
    </row>
    <row r="60" spans="1:20" s="139" customFormat="1" ht="12.75">
      <c r="A60" s="132">
        <f>ROW()</f>
        <v>60</v>
      </c>
      <c r="B60" s="133" t="s">
        <v>140</v>
      </c>
      <c r="C60" s="134" t="s">
        <v>151</v>
      </c>
      <c r="D60" s="135">
        <v>252</v>
      </c>
      <c r="E60" s="135">
        <v>252</v>
      </c>
      <c r="F60" s="135">
        <v>252</v>
      </c>
      <c r="G60" s="135">
        <v>252</v>
      </c>
      <c r="H60" s="135">
        <v>252</v>
      </c>
      <c r="I60" s="135">
        <v>252</v>
      </c>
      <c r="J60" s="135">
        <v>252</v>
      </c>
      <c r="K60" s="135">
        <v>252</v>
      </c>
      <c r="L60" s="135">
        <v>252</v>
      </c>
      <c r="M60" s="135">
        <v>252</v>
      </c>
      <c r="N60" s="135">
        <v>252</v>
      </c>
      <c r="O60" s="135">
        <v>252</v>
      </c>
      <c r="P60" s="135">
        <v>252</v>
      </c>
      <c r="Q60" s="136">
        <v>251534</v>
      </c>
      <c r="R60" s="137">
        <v>0.0138</v>
      </c>
      <c r="S60" s="136">
        <v>3471.12</v>
      </c>
      <c r="T60" s="135">
        <v>-164315.1</v>
      </c>
    </row>
    <row r="61" spans="1:20" s="139" customFormat="1" ht="12.75">
      <c r="A61" s="132">
        <f>ROW()</f>
        <v>61</v>
      </c>
      <c r="B61" s="133"/>
      <c r="C61" s="134" t="s">
        <v>142</v>
      </c>
      <c r="D61" s="143">
        <f aca="true" t="shared" si="6" ref="D61:Q61">SUM(D60)</f>
        <v>252</v>
      </c>
      <c r="E61" s="143">
        <f t="shared" si="6"/>
        <v>252</v>
      </c>
      <c r="F61" s="143">
        <f t="shared" si="6"/>
        <v>252</v>
      </c>
      <c r="G61" s="143">
        <f t="shared" si="6"/>
        <v>252</v>
      </c>
      <c r="H61" s="143">
        <f t="shared" si="6"/>
        <v>252</v>
      </c>
      <c r="I61" s="143">
        <f t="shared" si="6"/>
        <v>252</v>
      </c>
      <c r="J61" s="143">
        <f t="shared" si="6"/>
        <v>252</v>
      </c>
      <c r="K61" s="143">
        <f t="shared" si="6"/>
        <v>252</v>
      </c>
      <c r="L61" s="143">
        <f t="shared" si="6"/>
        <v>252</v>
      </c>
      <c r="M61" s="143">
        <f t="shared" si="6"/>
        <v>252</v>
      </c>
      <c r="N61" s="143">
        <f t="shared" si="6"/>
        <v>252</v>
      </c>
      <c r="O61" s="143">
        <f t="shared" si="6"/>
        <v>252</v>
      </c>
      <c r="P61" s="143">
        <f t="shared" si="6"/>
        <v>252</v>
      </c>
      <c r="Q61" s="143">
        <f t="shared" si="6"/>
        <v>251534</v>
      </c>
      <c r="R61" s="144">
        <f>ROUND(+S61/Q61,4)</f>
        <v>0.0138</v>
      </c>
      <c r="S61" s="145">
        <f>SUM(S60:S60)</f>
        <v>3471.12</v>
      </c>
      <c r="T61" s="143">
        <f>SUM(T60)</f>
        <v>-164315.1</v>
      </c>
    </row>
    <row r="62" spans="1:20" s="139" customFormat="1" ht="12.75">
      <c r="A62" s="132">
        <f>ROW()</f>
        <v>62</v>
      </c>
      <c r="B62" s="133"/>
      <c r="C62" s="134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7"/>
      <c r="S62" s="136"/>
      <c r="T62" s="135"/>
    </row>
    <row r="63" spans="1:20" s="139" customFormat="1" ht="12.75">
      <c r="A63" s="132">
        <f>ROW()</f>
        <v>63</v>
      </c>
      <c r="B63" s="103" t="s">
        <v>152</v>
      </c>
      <c r="C63" s="134"/>
      <c r="D63" s="135">
        <f aca="true" t="shared" si="7" ref="D63:Q63">D21+D28+D36+D43+D50+D58+D61</f>
        <v>707477</v>
      </c>
      <c r="E63" s="135">
        <f t="shared" si="7"/>
        <v>713868</v>
      </c>
      <c r="F63" s="135">
        <f t="shared" si="7"/>
        <v>713174</v>
      </c>
      <c r="G63" s="135">
        <f t="shared" si="7"/>
        <v>715592</v>
      </c>
      <c r="H63" s="135">
        <f t="shared" si="7"/>
        <v>715591</v>
      </c>
      <c r="I63" s="135">
        <f t="shared" si="7"/>
        <v>718718</v>
      </c>
      <c r="J63" s="135">
        <f t="shared" si="7"/>
        <v>722635</v>
      </c>
      <c r="K63" s="135">
        <f t="shared" si="7"/>
        <v>728296</v>
      </c>
      <c r="L63" s="135">
        <f t="shared" si="7"/>
        <v>728116</v>
      </c>
      <c r="M63" s="135">
        <f t="shared" si="7"/>
        <v>729948</v>
      </c>
      <c r="N63" s="135">
        <f t="shared" si="7"/>
        <v>731356</v>
      </c>
      <c r="O63" s="135">
        <f t="shared" si="7"/>
        <v>731969</v>
      </c>
      <c r="P63" s="135">
        <f t="shared" si="7"/>
        <v>729602</v>
      </c>
      <c r="Q63" s="135">
        <f t="shared" si="7"/>
        <v>722316078</v>
      </c>
      <c r="R63" s="137">
        <f>S63/Q63</f>
        <v>0.016093576640557626</v>
      </c>
      <c r="S63" s="135">
        <f>S21+S28+S36+S43+S50+S58+S61</f>
        <v>11624649.16</v>
      </c>
      <c r="T63" s="135">
        <f>T21+T28+T36+T43+T50+T58+T61</f>
        <v>-431600070.94499993</v>
      </c>
    </row>
    <row r="64" spans="1:20" s="139" customFormat="1" ht="12.75">
      <c r="A64" s="132">
        <f>ROW()</f>
        <v>64</v>
      </c>
      <c r="B64" s="133" t="s">
        <v>153</v>
      </c>
      <c r="C64" s="134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>
        <v>-2045650.8049999997</v>
      </c>
      <c r="R64" s="137"/>
      <c r="S64" s="136">
        <v>111231.32</v>
      </c>
      <c r="T64" s="135"/>
    </row>
    <row r="65" spans="1:19" s="139" customFormat="1" ht="12.75">
      <c r="A65" s="132">
        <f>ROW()</f>
        <v>65</v>
      </c>
      <c r="B65" s="134" t="s">
        <v>154</v>
      </c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Q65" s="135">
        <v>5656965.369999937</v>
      </c>
      <c r="R65" s="136"/>
      <c r="S65" s="135">
        <v>354668.76000000536</v>
      </c>
    </row>
    <row r="66" spans="1:21" ht="12.75">
      <c r="A66" s="132">
        <f>ROW()</f>
        <v>66</v>
      </c>
      <c r="B66" s="134" t="s">
        <v>155</v>
      </c>
      <c r="C66" s="139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9"/>
      <c r="Q66" s="147">
        <v>2218675</v>
      </c>
      <c r="R66" s="148"/>
      <c r="S66" s="147">
        <v>104311.20599999999</v>
      </c>
      <c r="T66" s="149"/>
      <c r="U66" s="139"/>
    </row>
    <row r="67" spans="1:20" ht="12.75">
      <c r="A67" s="132">
        <f>ROW()</f>
        <v>67</v>
      </c>
      <c r="D67" s="121" t="s">
        <v>156</v>
      </c>
      <c r="Q67" s="121">
        <f>SUM(Q63:Q66)</f>
        <v>728146067.5649999</v>
      </c>
      <c r="R67" s="137">
        <f>S67/Q67</f>
        <v>0.016747821610547116</v>
      </c>
      <c r="S67" s="121">
        <f>SUM(S63:S66)</f>
        <v>12194860.446000006</v>
      </c>
      <c r="T67" s="150">
        <f>SUM(T63:T66)</f>
        <v>-431600070.94499993</v>
      </c>
    </row>
    <row r="68" spans="1:20" ht="12.75">
      <c r="A68" s="132"/>
      <c r="T68" s="151"/>
    </row>
    <row r="69" spans="1:20" ht="12.75">
      <c r="A69" s="132"/>
      <c r="T69" s="151"/>
    </row>
    <row r="70" spans="1:20" ht="12.75">
      <c r="A70" s="132"/>
      <c r="T70" s="151"/>
    </row>
    <row r="71" spans="1:20" ht="12.75">
      <c r="A71" s="132"/>
      <c r="T71" s="151"/>
    </row>
    <row r="72" spans="1:20" ht="12.75">
      <c r="A72" s="132"/>
      <c r="T72" s="151"/>
    </row>
    <row r="73" spans="1:20" ht="12.75">
      <c r="A73" s="132"/>
      <c r="T73" s="151"/>
    </row>
    <row r="74" spans="1:20" ht="18">
      <c r="A74" s="132"/>
      <c r="B74" s="112" t="s">
        <v>99</v>
      </c>
      <c r="D74" s="121"/>
      <c r="Q74" s="121"/>
      <c r="T74" s="4"/>
    </row>
    <row r="75" spans="1:20" ht="12.75">
      <c r="A75" s="132">
        <f>ROW()</f>
        <v>75</v>
      </c>
      <c r="D75" s="121"/>
      <c r="T75" s="5"/>
    </row>
    <row r="76" spans="1:20" ht="12.75">
      <c r="A76" s="132">
        <f>ROW()</f>
        <v>76</v>
      </c>
      <c r="D76" s="121"/>
      <c r="Q76" s="152"/>
      <c r="T76" s="7"/>
    </row>
    <row r="77" spans="1:20" ht="12.75">
      <c r="A77" s="132">
        <f>ROW()</f>
        <v>77</v>
      </c>
      <c r="D77" s="121"/>
      <c r="Q77" s="151"/>
      <c r="T77" s="118"/>
    </row>
    <row r="78" spans="1:17" ht="12.75">
      <c r="A78" s="132">
        <f>ROW()</f>
        <v>78</v>
      </c>
      <c r="D78" s="121"/>
      <c r="Q78" s="151"/>
    </row>
    <row r="79" spans="1:17" ht="12.75">
      <c r="A79" s="132">
        <f>ROW()</f>
        <v>79</v>
      </c>
      <c r="B79" s="113" t="s">
        <v>157</v>
      </c>
      <c r="Q79" s="151"/>
    </row>
    <row r="80" spans="1:17" ht="12.75">
      <c r="A80" s="132">
        <f>ROW()</f>
        <v>80</v>
      </c>
      <c r="D80" s="153" t="s">
        <v>158</v>
      </c>
      <c r="E80" s="153"/>
      <c r="F80" s="153"/>
      <c r="G80" s="153"/>
      <c r="H80" s="153"/>
      <c r="I80" s="153"/>
      <c r="J80" s="153"/>
      <c r="K80" s="153"/>
      <c r="L80" s="153"/>
      <c r="M80" s="153"/>
      <c r="N80" s="153"/>
      <c r="O80" s="153"/>
      <c r="P80" s="153"/>
      <c r="Q80" s="151"/>
    </row>
    <row r="81" spans="1:15" ht="12.75">
      <c r="A81" s="132">
        <f>ROW()</f>
        <v>81</v>
      </c>
      <c r="B81" s="113" t="s">
        <v>159</v>
      </c>
      <c r="C81" s="113" t="s">
        <v>160</v>
      </c>
      <c r="D81" s="154" t="s">
        <v>161</v>
      </c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</row>
    <row r="82" spans="1:35" s="96" customFormat="1" ht="12.75">
      <c r="A82" s="132">
        <f>ROW()</f>
        <v>82</v>
      </c>
      <c r="B82" s="155">
        <v>50004011</v>
      </c>
      <c r="C82" s="96" t="s">
        <v>162</v>
      </c>
      <c r="D82" s="156">
        <v>77817.08</v>
      </c>
      <c r="E82" s="157"/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158"/>
      <c r="Q82" s="159"/>
      <c r="R82" s="113"/>
      <c r="S82" s="107"/>
      <c r="T82" s="15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</row>
    <row r="83" spans="1:35" s="96" customFormat="1" ht="12.75">
      <c r="A83" s="132">
        <f>ROW()</f>
        <v>83</v>
      </c>
      <c r="B83" s="155">
        <v>50005011</v>
      </c>
      <c r="C83" s="96" t="s">
        <v>163</v>
      </c>
      <c r="D83" s="160">
        <v>64128.65</v>
      </c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8"/>
      <c r="Q83" s="159"/>
      <c r="R83" s="78"/>
      <c r="S83" s="107"/>
      <c r="T83" s="15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</row>
    <row r="84" spans="1:35" s="96" customFormat="1" ht="12.75">
      <c r="A84" s="132">
        <f>ROW()</f>
        <v>84</v>
      </c>
      <c r="B84" s="155">
        <v>50204001</v>
      </c>
      <c r="C84" s="96" t="s">
        <v>164</v>
      </c>
      <c r="D84" s="160">
        <v>3333797.4</v>
      </c>
      <c r="E84" s="157"/>
      <c r="F84" s="157"/>
      <c r="G84" s="157"/>
      <c r="H84" s="157"/>
      <c r="I84" s="157"/>
      <c r="J84" s="157"/>
      <c r="K84" s="157"/>
      <c r="L84" s="157"/>
      <c r="M84" s="157"/>
      <c r="N84" s="157"/>
      <c r="O84" s="157"/>
      <c r="P84" s="158"/>
      <c r="Q84" s="159"/>
      <c r="R84" s="78"/>
      <c r="S84" s="107"/>
      <c r="T84" s="15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</row>
    <row r="85" spans="1:35" s="96" customFormat="1" ht="12.75">
      <c r="A85" s="132">
        <f>ROW()</f>
        <v>85</v>
      </c>
      <c r="B85" s="155">
        <v>50205001</v>
      </c>
      <c r="C85" s="96" t="s">
        <v>165</v>
      </c>
      <c r="D85" s="160">
        <v>2284715.42</v>
      </c>
      <c r="E85" s="157"/>
      <c r="F85" s="157"/>
      <c r="G85" s="157"/>
      <c r="H85" s="157"/>
      <c r="I85" s="157"/>
      <c r="J85" s="157"/>
      <c r="K85" s="157"/>
      <c r="L85" s="157"/>
      <c r="M85" s="157"/>
      <c r="N85" s="157"/>
      <c r="O85" s="157"/>
      <c r="P85" s="158"/>
      <c r="Q85" s="159"/>
      <c r="R85" s="78"/>
      <c r="S85" s="107"/>
      <c r="T85" s="15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</row>
    <row r="86" spans="1:35" s="96" customFormat="1" ht="12.75">
      <c r="A86" s="132">
        <f>ROW()</f>
        <v>86</v>
      </c>
      <c r="B86" s="155">
        <v>50504001</v>
      </c>
      <c r="C86" s="96" t="s">
        <v>166</v>
      </c>
      <c r="D86" s="160">
        <v>74472</v>
      </c>
      <c r="E86" s="157"/>
      <c r="F86" s="157"/>
      <c r="G86" s="157"/>
      <c r="H86" s="157"/>
      <c r="I86" s="157"/>
      <c r="J86" s="157"/>
      <c r="K86" s="157"/>
      <c r="L86" s="157"/>
      <c r="M86" s="157"/>
      <c r="N86" s="157"/>
      <c r="O86" s="157"/>
      <c r="P86" s="158"/>
      <c r="Q86" s="159"/>
      <c r="R86" s="78"/>
      <c r="S86" s="107"/>
      <c r="T86" s="15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</row>
    <row r="87" spans="1:35" s="96" customFormat="1" ht="12.75">
      <c r="A87" s="132">
        <f>ROW()</f>
        <v>87</v>
      </c>
      <c r="B87" s="155">
        <v>50505001</v>
      </c>
      <c r="C87" s="96" t="s">
        <v>167</v>
      </c>
      <c r="D87" s="160">
        <v>50120.92</v>
      </c>
      <c r="E87" s="157"/>
      <c r="F87" s="157"/>
      <c r="G87" s="157"/>
      <c r="H87" s="157"/>
      <c r="I87" s="157"/>
      <c r="J87" s="157"/>
      <c r="K87" s="157"/>
      <c r="L87" s="157"/>
      <c r="M87" s="157"/>
      <c r="N87" s="157"/>
      <c r="O87" s="157"/>
      <c r="P87" s="158"/>
      <c r="Q87" s="159"/>
      <c r="R87" s="78"/>
      <c r="S87" s="107"/>
      <c r="T87" s="158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</row>
    <row r="88" spans="1:35" s="96" customFormat="1" ht="12.75">
      <c r="A88" s="132">
        <f>ROW()</f>
        <v>88</v>
      </c>
      <c r="B88" s="155">
        <v>50604001</v>
      </c>
      <c r="C88" s="96" t="s">
        <v>168</v>
      </c>
      <c r="D88" s="160">
        <v>4178276.6</v>
      </c>
      <c r="E88" s="157"/>
      <c r="F88" s="157"/>
      <c r="G88" s="157"/>
      <c r="H88" s="157"/>
      <c r="I88" s="157"/>
      <c r="J88" s="157"/>
      <c r="K88" s="157"/>
      <c r="L88" s="157"/>
      <c r="M88" s="157"/>
      <c r="N88" s="157"/>
      <c r="O88" s="157"/>
      <c r="P88" s="158"/>
      <c r="Q88" s="159"/>
      <c r="R88" s="78"/>
      <c r="S88" s="107"/>
      <c r="T88" s="15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</row>
    <row r="89" spans="1:35" s="96" customFormat="1" ht="12.75">
      <c r="A89" s="132">
        <f>ROW()</f>
        <v>89</v>
      </c>
      <c r="B89" s="155">
        <v>50605001</v>
      </c>
      <c r="C89" s="96" t="s">
        <v>169</v>
      </c>
      <c r="D89" s="160">
        <v>2603296.48</v>
      </c>
      <c r="E89" s="157"/>
      <c r="F89" s="157"/>
      <c r="G89" s="157"/>
      <c r="H89" s="157"/>
      <c r="I89" s="157"/>
      <c r="J89" s="157"/>
      <c r="K89" s="157"/>
      <c r="L89" s="157"/>
      <c r="M89" s="157"/>
      <c r="N89" s="157"/>
      <c r="O89" s="157"/>
      <c r="P89" s="158"/>
      <c r="Q89" s="159"/>
      <c r="R89" s="78"/>
      <c r="S89" s="107"/>
      <c r="T89" s="15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</row>
    <row r="90" spans="1:35" s="96" customFormat="1" ht="12.75">
      <c r="A90" s="132">
        <f>ROW()</f>
        <v>90</v>
      </c>
      <c r="B90" s="155">
        <v>50704001</v>
      </c>
      <c r="C90" s="96" t="s">
        <v>170</v>
      </c>
      <c r="D90" s="160">
        <v>5765.41</v>
      </c>
      <c r="E90" s="157"/>
      <c r="F90" s="157"/>
      <c r="G90" s="157"/>
      <c r="H90" s="157"/>
      <c r="I90" s="157"/>
      <c r="J90" s="157"/>
      <c r="K90" s="157"/>
      <c r="L90" s="157"/>
      <c r="M90" s="157"/>
      <c r="N90" s="157"/>
      <c r="O90" s="157"/>
      <c r="P90" s="158"/>
      <c r="Q90" s="159"/>
      <c r="R90" s="78"/>
      <c r="S90" s="107"/>
      <c r="T90" s="15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</row>
    <row r="91" spans="1:35" s="96" customFormat="1" ht="12.75">
      <c r="A91" s="132">
        <f>ROW()</f>
        <v>91</v>
      </c>
      <c r="B91" s="155">
        <v>50705001</v>
      </c>
      <c r="C91" s="96" t="s">
        <v>171</v>
      </c>
      <c r="D91" s="160">
        <v>49869.87</v>
      </c>
      <c r="E91" s="157"/>
      <c r="F91" s="157"/>
      <c r="G91" s="157"/>
      <c r="H91" s="157"/>
      <c r="I91" s="157"/>
      <c r="J91" s="157"/>
      <c r="K91" s="157"/>
      <c r="L91" s="157"/>
      <c r="M91" s="157"/>
      <c r="N91" s="157"/>
      <c r="O91" s="157"/>
      <c r="P91" s="158"/>
      <c r="Q91" s="159"/>
      <c r="R91" s="78"/>
      <c r="S91" s="107"/>
      <c r="T91" s="15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</row>
    <row r="92" spans="1:35" s="96" customFormat="1" ht="12.75">
      <c r="A92" s="132">
        <f>ROW()</f>
        <v>92</v>
      </c>
      <c r="B92" s="155">
        <v>51004001</v>
      </c>
      <c r="C92" s="96" t="s">
        <v>172</v>
      </c>
      <c r="D92" s="160">
        <v>955091.29</v>
      </c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8"/>
      <c r="Q92" s="159"/>
      <c r="R92" s="78"/>
      <c r="S92" s="107"/>
      <c r="T92" s="15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</row>
    <row r="93" spans="1:35" s="96" customFormat="1" ht="12.75">
      <c r="A93" s="132">
        <f>ROW()</f>
        <v>93</v>
      </c>
      <c r="B93" s="155">
        <v>51005001</v>
      </c>
      <c r="C93" s="96" t="s">
        <v>173</v>
      </c>
      <c r="D93" s="160">
        <v>614707.07</v>
      </c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8"/>
      <c r="Q93" s="159"/>
      <c r="R93" s="78"/>
      <c r="S93" s="107"/>
      <c r="T93" s="15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</row>
    <row r="94" spans="1:35" s="96" customFormat="1" ht="12.75">
      <c r="A94" s="132">
        <f>ROW()</f>
        <v>94</v>
      </c>
      <c r="B94" s="155">
        <v>51104001</v>
      </c>
      <c r="C94" s="96" t="s">
        <v>174</v>
      </c>
      <c r="D94" s="160">
        <v>698097.28</v>
      </c>
      <c r="E94" s="157"/>
      <c r="F94" s="157"/>
      <c r="G94" s="157"/>
      <c r="H94" s="157"/>
      <c r="I94" s="157"/>
      <c r="J94" s="157"/>
      <c r="K94" s="157"/>
      <c r="L94" s="157"/>
      <c r="M94" s="157"/>
      <c r="N94" s="157"/>
      <c r="O94" s="157"/>
      <c r="P94" s="158"/>
      <c r="Q94" s="159"/>
      <c r="R94" s="78"/>
      <c r="S94" s="107"/>
      <c r="T94" s="15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</row>
    <row r="95" spans="1:35" s="96" customFormat="1" ht="12.75">
      <c r="A95" s="132">
        <f>ROW()</f>
        <v>95</v>
      </c>
      <c r="B95" s="155">
        <v>51105001</v>
      </c>
      <c r="C95" s="96" t="s">
        <v>175</v>
      </c>
      <c r="D95" s="160">
        <v>734251.1</v>
      </c>
      <c r="E95" s="157"/>
      <c r="F95" s="157"/>
      <c r="G95" s="157"/>
      <c r="H95" s="157"/>
      <c r="I95" s="157"/>
      <c r="J95" s="157"/>
      <c r="K95" s="157"/>
      <c r="L95" s="157"/>
      <c r="M95" s="157"/>
      <c r="N95" s="157"/>
      <c r="O95" s="157"/>
      <c r="P95" s="158"/>
      <c r="Q95" s="159"/>
      <c r="R95" s="78"/>
      <c r="S95" s="107"/>
      <c r="T95" s="15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</row>
    <row r="96" spans="1:35" s="96" customFormat="1" ht="12.75">
      <c r="A96" s="132">
        <f>ROW()</f>
        <v>96</v>
      </c>
      <c r="B96" s="155">
        <v>51204001</v>
      </c>
      <c r="C96" s="96" t="s">
        <v>176</v>
      </c>
      <c r="D96" s="160">
        <v>7418214.33</v>
      </c>
      <c r="E96" s="157"/>
      <c r="F96" s="157"/>
      <c r="G96" s="157"/>
      <c r="H96" s="157"/>
      <c r="I96" s="157"/>
      <c r="J96" s="157"/>
      <c r="K96" s="157"/>
      <c r="L96" s="157"/>
      <c r="M96" s="157"/>
      <c r="N96" s="157"/>
      <c r="O96" s="157"/>
      <c r="P96" s="158"/>
      <c r="Q96" s="159"/>
      <c r="R96" s="78"/>
      <c r="S96" s="107"/>
      <c r="T96" s="157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107"/>
      <c r="AF96" s="107"/>
      <c r="AG96" s="107"/>
      <c r="AH96" s="107"/>
      <c r="AI96" s="107"/>
    </row>
    <row r="97" spans="1:35" s="96" customFormat="1" ht="12.75">
      <c r="A97" s="132">
        <f>ROW()</f>
        <v>97</v>
      </c>
      <c r="B97" s="155">
        <v>51205001</v>
      </c>
      <c r="C97" s="96" t="s">
        <v>177</v>
      </c>
      <c r="D97" s="160">
        <v>4153468.66</v>
      </c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8"/>
      <c r="Q97" s="159"/>
      <c r="R97" s="78"/>
      <c r="S97" s="107"/>
      <c r="T97" s="15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</row>
    <row r="98" spans="1:35" s="96" customFormat="1" ht="12.75">
      <c r="A98" s="132">
        <f>ROW()</f>
        <v>98</v>
      </c>
      <c r="B98" s="155">
        <v>51304001</v>
      </c>
      <c r="C98" s="96" t="s">
        <v>178</v>
      </c>
      <c r="D98" s="160">
        <v>1873014.76</v>
      </c>
      <c r="E98" s="157"/>
      <c r="F98" s="157"/>
      <c r="G98" s="157"/>
      <c r="H98" s="157"/>
      <c r="I98" s="157"/>
      <c r="J98" s="157"/>
      <c r="K98" s="157"/>
      <c r="L98" s="157"/>
      <c r="M98" s="157"/>
      <c r="N98" s="157"/>
      <c r="O98" s="157"/>
      <c r="P98" s="158"/>
      <c r="Q98" s="159"/>
      <c r="R98" s="78"/>
      <c r="S98" s="107"/>
      <c r="T98" s="15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</row>
    <row r="99" spans="1:35" s="96" customFormat="1" ht="12.75">
      <c r="A99" s="132">
        <f>ROW()</f>
        <v>99</v>
      </c>
      <c r="B99" s="155">
        <v>51305001</v>
      </c>
      <c r="C99" s="96" t="s">
        <v>179</v>
      </c>
      <c r="D99" s="160">
        <v>520661.2</v>
      </c>
      <c r="E99" s="157"/>
      <c r="F99" s="157"/>
      <c r="G99" s="157"/>
      <c r="H99" s="157"/>
      <c r="I99" s="157"/>
      <c r="J99" s="157"/>
      <c r="K99" s="157"/>
      <c r="L99" s="157"/>
      <c r="M99" s="157"/>
      <c r="N99" s="157"/>
      <c r="O99" s="157"/>
      <c r="P99" s="158"/>
      <c r="Q99" s="159"/>
      <c r="R99" s="78"/>
      <c r="S99" s="107"/>
      <c r="T99" s="15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</row>
    <row r="100" spans="1:35" s="96" customFormat="1" ht="12.75">
      <c r="A100" s="132">
        <f>ROW()</f>
        <v>100</v>
      </c>
      <c r="B100" s="155">
        <v>51404001</v>
      </c>
      <c r="C100" s="96" t="s">
        <v>180</v>
      </c>
      <c r="D100" s="160">
        <v>1529780.29</v>
      </c>
      <c r="E100" s="157"/>
      <c r="F100" s="157"/>
      <c r="G100" s="157"/>
      <c r="H100" s="157"/>
      <c r="I100" s="157"/>
      <c r="J100" s="157"/>
      <c r="K100" s="157"/>
      <c r="L100" s="157"/>
      <c r="M100" s="157"/>
      <c r="N100" s="157"/>
      <c r="O100" s="157"/>
      <c r="P100" s="158"/>
      <c r="Q100" s="159"/>
      <c r="R100" s="78"/>
      <c r="S100" s="107"/>
      <c r="T100" s="15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</row>
    <row r="101" spans="1:35" s="96" customFormat="1" ht="12.75">
      <c r="A101" s="132">
        <f>ROW()</f>
        <v>101</v>
      </c>
      <c r="B101" s="155">
        <v>51405001</v>
      </c>
      <c r="C101" s="96" t="s">
        <v>181</v>
      </c>
      <c r="D101" s="170">
        <v>781195.34</v>
      </c>
      <c r="E101" s="157"/>
      <c r="F101" s="157"/>
      <c r="G101" s="157"/>
      <c r="H101" s="157"/>
      <c r="I101" s="157"/>
      <c r="J101" s="157"/>
      <c r="K101" s="157"/>
      <c r="L101" s="157"/>
      <c r="M101" s="157"/>
      <c r="N101" s="157"/>
      <c r="O101" s="157"/>
      <c r="P101" s="158"/>
      <c r="Q101" s="159"/>
      <c r="R101" s="78"/>
      <c r="S101" s="107"/>
      <c r="T101" s="15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</row>
    <row r="102" spans="1:35" s="96" customFormat="1" ht="12.75">
      <c r="A102" s="132">
        <f>ROW()</f>
        <v>102</v>
      </c>
      <c r="B102" s="161"/>
      <c r="C102" s="107" t="s">
        <v>182</v>
      </c>
      <c r="D102" s="78">
        <f aca="true" t="shared" si="8" ref="D102:O102">SUM(D82:D101)</f>
        <v>32000741.15</v>
      </c>
      <c r="E102" s="78">
        <f t="shared" si="8"/>
        <v>0</v>
      </c>
      <c r="F102" s="78">
        <f t="shared" si="8"/>
        <v>0</v>
      </c>
      <c r="G102" s="78">
        <f t="shared" si="8"/>
        <v>0</v>
      </c>
      <c r="H102" s="78">
        <f t="shared" si="8"/>
        <v>0</v>
      </c>
      <c r="I102" s="78">
        <f t="shared" si="8"/>
        <v>0</v>
      </c>
      <c r="J102" s="78">
        <f t="shared" si="8"/>
        <v>0</v>
      </c>
      <c r="K102" s="78">
        <f t="shared" si="8"/>
        <v>0</v>
      </c>
      <c r="L102" s="78">
        <f t="shared" si="8"/>
        <v>0</v>
      </c>
      <c r="M102" s="78">
        <f t="shared" si="8"/>
        <v>0</v>
      </c>
      <c r="N102" s="78">
        <f t="shared" si="8"/>
        <v>0</v>
      </c>
      <c r="O102" s="78">
        <f t="shared" si="8"/>
        <v>0</v>
      </c>
      <c r="P102" s="78"/>
      <c r="Q102" s="159"/>
      <c r="R102" s="159"/>
      <c r="S102" s="107"/>
      <c r="T102" s="15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</row>
    <row r="103" spans="1:35" s="96" customFormat="1" ht="12.75">
      <c r="A103" s="132">
        <f>ROW()</f>
        <v>103</v>
      </c>
      <c r="B103" s="161"/>
      <c r="C103" s="162" t="s">
        <v>183</v>
      </c>
      <c r="D103" s="78">
        <f>-1784940+4992077</f>
        <v>3207137</v>
      </c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159"/>
      <c r="R103" s="159"/>
      <c r="S103" s="107"/>
      <c r="T103" s="15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</row>
    <row r="104" spans="1:15" ht="12.75">
      <c r="A104" s="132">
        <f>ROW()</f>
        <v>104</v>
      </c>
      <c r="B104" s="163"/>
      <c r="C104" s="113" t="s">
        <v>184</v>
      </c>
      <c r="D104" s="164">
        <f>SUM(D102:D103)</f>
        <v>35207878.15</v>
      </c>
      <c r="E104" s="164" t="e">
        <f>SUM(#REF!)</f>
        <v>#REF!</v>
      </c>
      <c r="F104" s="164" t="e">
        <f>SUM(#REF!)</f>
        <v>#REF!</v>
      </c>
      <c r="G104" s="164" t="e">
        <f>SUM(#REF!)</f>
        <v>#REF!</v>
      </c>
      <c r="H104" s="164" t="e">
        <f>SUM(#REF!)</f>
        <v>#REF!</v>
      </c>
      <c r="I104" s="164" t="e">
        <f>SUM(#REF!)</f>
        <v>#REF!</v>
      </c>
      <c r="J104" s="164" t="e">
        <f>SUM(#REF!)</f>
        <v>#REF!</v>
      </c>
      <c r="K104" s="164" t="e">
        <f>SUM(#REF!)</f>
        <v>#REF!</v>
      </c>
      <c r="L104" s="164" t="e">
        <f>SUM(#REF!)</f>
        <v>#REF!</v>
      </c>
      <c r="M104" s="164" t="e">
        <f>SUM(#REF!)</f>
        <v>#REF!</v>
      </c>
      <c r="N104" s="164" t="e">
        <f>SUM(#REF!)</f>
        <v>#REF!</v>
      </c>
      <c r="O104" s="164" t="e">
        <f>SUM(#REF!)</f>
        <v>#REF!</v>
      </c>
    </row>
    <row r="105" spans="1:4" ht="12.75">
      <c r="A105" s="132">
        <f>ROW()</f>
        <v>105</v>
      </c>
      <c r="B105" s="163"/>
      <c r="C105" s="165" t="s">
        <v>185</v>
      </c>
      <c r="D105" s="166">
        <v>10427003</v>
      </c>
    </row>
    <row r="106" spans="1:4" ht="12.75">
      <c r="A106" s="132">
        <f>ROW()</f>
        <v>106</v>
      </c>
      <c r="B106" s="163"/>
      <c r="C106" s="165" t="s">
        <v>186</v>
      </c>
      <c r="D106" s="150">
        <v>1736534.8668499999</v>
      </c>
    </row>
    <row r="107" spans="1:4" ht="12.75">
      <c r="A107" s="132">
        <f>ROW()</f>
        <v>107</v>
      </c>
      <c r="B107" s="163" t="s">
        <v>187</v>
      </c>
      <c r="C107" s="113" t="s">
        <v>71</v>
      </c>
      <c r="D107" s="164">
        <f>S67</f>
        <v>12194860.446000006</v>
      </c>
    </row>
    <row r="108" spans="1:17" ht="16.5" thickBot="1">
      <c r="A108" s="132">
        <f>ROW()</f>
        <v>108</v>
      </c>
      <c r="B108" s="163"/>
      <c r="D108" s="167">
        <f>D104+D105+D106+D107</f>
        <v>59566276.462850004</v>
      </c>
      <c r="Q108" s="168"/>
    </row>
    <row r="109" ht="13.5" thickTop="1"/>
    <row r="110" ht="12.75">
      <c r="Q110" s="151"/>
    </row>
    <row r="111" spans="2:17" ht="18">
      <c r="B111" s="169"/>
      <c r="Q111" s="151"/>
    </row>
    <row r="112" ht="12.75">
      <c r="Q112" s="151"/>
    </row>
    <row r="113" ht="12.75">
      <c r="Q113" s="151"/>
    </row>
    <row r="114" ht="12.75">
      <c r="T114" s="151"/>
    </row>
    <row r="115" ht="12.75">
      <c r="T115" s="151"/>
    </row>
    <row r="116" ht="12.75">
      <c r="T116" s="151"/>
    </row>
    <row r="117" ht="12.75">
      <c r="T117" s="151"/>
    </row>
    <row r="118" ht="12.75">
      <c r="T118" s="151"/>
    </row>
    <row r="119" ht="12.75">
      <c r="T119" s="151"/>
    </row>
    <row r="120" ht="12.75">
      <c r="T120" s="151"/>
    </row>
    <row r="121" ht="12.75">
      <c r="T121" s="151"/>
    </row>
    <row r="122" ht="12.75">
      <c r="T122" s="151"/>
    </row>
    <row r="123" ht="12.75">
      <c r="T123" s="151"/>
    </row>
    <row r="124" ht="12.75">
      <c r="T124" s="151"/>
    </row>
    <row r="125" ht="12.75">
      <c r="T125" s="151"/>
    </row>
    <row r="126" ht="12.75">
      <c r="T126" s="151"/>
    </row>
    <row r="127" ht="12.75">
      <c r="T127" s="151"/>
    </row>
    <row r="128" ht="12.75">
      <c r="T128" s="151"/>
    </row>
    <row r="129" ht="12.75">
      <c r="T129" s="151"/>
    </row>
  </sheetData>
  <sheetProtection/>
  <printOptions horizontalCentered="1"/>
  <pageMargins left="1" right="1" top="1" bottom="1" header="0.5" footer="0.5"/>
  <pageSetup fitToHeight="1" fitToWidth="1" horizontalDpi="600" verticalDpi="600" orientation="portrait" r:id="rId2"/>
  <headerFooter alignWithMargins="0">
    <oddHeader>&amp;R&amp;"Arial,Bold"
</oddHeader>
  </headerFooter>
  <rowBreaks count="1" manualBreakCount="1">
    <brk id="71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6"/>
  <sheetViews>
    <sheetView zoomScalePageLayoutView="0" workbookViewId="0" topLeftCell="A1">
      <selection activeCell="A6" sqref="A6:E104"/>
    </sheetView>
  </sheetViews>
  <sheetFormatPr defaultColWidth="9.33203125" defaultRowHeight="10.5"/>
  <cols>
    <col min="1" max="1" width="6.83203125" style="172" customWidth="1"/>
    <col min="2" max="2" width="62.33203125" style="172" customWidth="1"/>
    <col min="3" max="3" width="22.66015625" style="172" customWidth="1"/>
    <col min="4" max="4" width="17" style="172" customWidth="1"/>
    <col min="5" max="5" width="21.16015625" style="172" customWidth="1"/>
    <col min="6" max="16384" width="9.33203125" style="173" customWidth="1"/>
  </cols>
  <sheetData>
    <row r="1" spans="1:5" ht="12.75">
      <c r="A1" s="171"/>
      <c r="D1" s="4"/>
      <c r="E1" s="4"/>
    </row>
    <row r="2" spans="1:5" ht="12.75">
      <c r="A2" s="174"/>
      <c r="E2" s="5"/>
    </row>
    <row r="3" spans="1:5" ht="12.75">
      <c r="A3" s="174"/>
      <c r="B3" s="171"/>
      <c r="D3" s="4"/>
      <c r="E3" s="7"/>
    </row>
    <row r="4" spans="1:5" ht="12.75">
      <c r="A4" s="171"/>
      <c r="B4" s="171"/>
      <c r="D4" s="175"/>
      <c r="E4" s="5"/>
    </row>
    <row r="5" spans="1:5" ht="12.75">
      <c r="A5" s="171"/>
      <c r="B5" s="171"/>
      <c r="C5" s="171"/>
      <c r="D5" s="171"/>
      <c r="E5" s="171"/>
    </row>
    <row r="6" spans="1:5" ht="12.75">
      <c r="A6" s="176" t="s">
        <v>188</v>
      </c>
      <c r="B6" s="177"/>
      <c r="C6" s="177"/>
      <c r="D6" s="177"/>
      <c r="E6" s="177"/>
    </row>
    <row r="7" spans="1:5" ht="12.75">
      <c r="A7" s="177" t="s">
        <v>189</v>
      </c>
      <c r="B7" s="177"/>
      <c r="C7" s="177"/>
      <c r="D7" s="177"/>
      <c r="E7" s="178"/>
    </row>
    <row r="8" spans="1:5" ht="12.75">
      <c r="A8" s="177" t="s">
        <v>258</v>
      </c>
      <c r="B8" s="177"/>
      <c r="C8" s="177"/>
      <c r="D8" s="177"/>
      <c r="E8" s="179"/>
    </row>
    <row r="9" spans="1:5" ht="12.75">
      <c r="A9" s="177" t="s">
        <v>190</v>
      </c>
      <c r="B9" s="177"/>
      <c r="C9" s="177"/>
      <c r="D9" s="177"/>
      <c r="E9" s="179"/>
    </row>
    <row r="10" spans="1:5" ht="12.75">
      <c r="A10" s="171"/>
      <c r="C10" s="180"/>
      <c r="D10" s="171"/>
      <c r="E10" s="171"/>
    </row>
    <row r="11" spans="1:5" ht="12.75">
      <c r="A11" s="181" t="s">
        <v>191</v>
      </c>
      <c r="B11" s="171"/>
      <c r="C11" s="182" t="s">
        <v>192</v>
      </c>
      <c r="D11" s="182" t="s">
        <v>193</v>
      </c>
      <c r="E11" s="182" t="s">
        <v>194</v>
      </c>
    </row>
    <row r="12" spans="1:5" ht="12.75">
      <c r="A12" s="183" t="s">
        <v>195</v>
      </c>
      <c r="B12" s="184" t="s">
        <v>114</v>
      </c>
      <c r="C12" s="183" t="s">
        <v>196</v>
      </c>
      <c r="D12" s="185">
        <v>0.027410000000000045</v>
      </c>
      <c r="E12" s="186">
        <v>0.35</v>
      </c>
    </row>
    <row r="13" ht="12.75">
      <c r="D13" s="187"/>
    </row>
    <row r="14" spans="1:4" ht="12.75">
      <c r="A14" s="180">
        <v>1</v>
      </c>
      <c r="B14" s="188" t="s">
        <v>197</v>
      </c>
      <c r="D14" s="187"/>
    </row>
    <row r="15" spans="1:5" ht="12.75">
      <c r="A15" s="180">
        <f aca="true" t="shared" si="0" ref="A15:A46">A14+1</f>
        <v>2</v>
      </c>
      <c r="B15" s="189" t="s">
        <v>198</v>
      </c>
      <c r="C15" s="190"/>
      <c r="D15" s="190"/>
      <c r="E15" s="190"/>
    </row>
    <row r="16" spans="1:5" ht="12.75">
      <c r="A16" s="180">
        <f t="shared" si="0"/>
        <v>3</v>
      </c>
      <c r="B16" s="77" t="s">
        <v>199</v>
      </c>
      <c r="C16" s="191">
        <v>130206</v>
      </c>
      <c r="D16" s="191">
        <f>+C16*-$D$12</f>
        <v>-3568.946460000006</v>
      </c>
      <c r="E16" s="191">
        <v>1249</v>
      </c>
    </row>
    <row r="17" spans="1:5" ht="12.75">
      <c r="A17" s="180">
        <f t="shared" si="0"/>
        <v>4</v>
      </c>
      <c r="B17" s="77" t="s">
        <v>200</v>
      </c>
      <c r="C17" s="192">
        <v>704296</v>
      </c>
      <c r="D17" s="192">
        <f>+C17*-$D$12</f>
        <v>-19304.75336000003</v>
      </c>
      <c r="E17" s="192">
        <v>6757</v>
      </c>
    </row>
    <row r="18" spans="1:5" ht="12.75">
      <c r="A18" s="180">
        <f t="shared" si="0"/>
        <v>5</v>
      </c>
      <c r="B18" s="172" t="s">
        <v>201</v>
      </c>
      <c r="C18" s="193">
        <f>SUM(C15:C17)</f>
        <v>834502</v>
      </c>
      <c r="D18" s="193">
        <f>SUM(D15:D17)</f>
        <v>-22873.699820000038</v>
      </c>
      <c r="E18" s="193">
        <f>SUM(E15:E17)</f>
        <v>8006</v>
      </c>
    </row>
    <row r="19" spans="1:5" ht="12.75">
      <c r="A19" s="180">
        <f t="shared" si="0"/>
        <v>6</v>
      </c>
      <c r="C19" s="193"/>
      <c r="D19" s="193"/>
      <c r="E19" s="193"/>
    </row>
    <row r="20" spans="1:5" ht="12.75">
      <c r="A20" s="180">
        <f t="shared" si="0"/>
        <v>7</v>
      </c>
      <c r="B20" s="172" t="s">
        <v>202</v>
      </c>
      <c r="C20" s="194"/>
      <c r="D20" s="194"/>
      <c r="E20" s="194"/>
    </row>
    <row r="21" spans="1:5" ht="12.75">
      <c r="A21" s="180">
        <f t="shared" si="0"/>
        <v>8</v>
      </c>
      <c r="B21" s="77" t="s">
        <v>203</v>
      </c>
      <c r="C21" s="194">
        <v>3782952.240161417</v>
      </c>
      <c r="D21" s="194">
        <f>+C21*-$D$12</f>
        <v>-103690.72090282461</v>
      </c>
      <c r="E21" s="194">
        <v>36292</v>
      </c>
    </row>
    <row r="22" spans="1:5" ht="12.75">
      <c r="A22" s="180">
        <f t="shared" si="0"/>
        <v>9</v>
      </c>
      <c r="B22" s="77" t="s">
        <v>204</v>
      </c>
      <c r="C22" s="195">
        <v>3466441.6574298907</v>
      </c>
      <c r="D22" s="195">
        <f>+C22*-$D$12</f>
        <v>-95015.16583015346</v>
      </c>
      <c r="E22" s="195">
        <v>33255</v>
      </c>
    </row>
    <row r="23" spans="1:5" ht="12.75">
      <c r="A23" s="180">
        <f t="shared" si="0"/>
        <v>10</v>
      </c>
      <c r="B23" s="189" t="s">
        <v>205</v>
      </c>
      <c r="C23" s="193">
        <f>SUM(C21:C22)</f>
        <v>7249393.897591308</v>
      </c>
      <c r="D23" s="193">
        <f>SUM(D21:D22)</f>
        <v>-198705.88673297808</v>
      </c>
      <c r="E23" s="193">
        <f>SUM(E21:E22)</f>
        <v>69547</v>
      </c>
    </row>
    <row r="24" spans="1:5" ht="12.75">
      <c r="A24" s="180">
        <f t="shared" si="0"/>
        <v>11</v>
      </c>
      <c r="B24" s="189"/>
      <c r="C24" s="193"/>
      <c r="D24" s="193"/>
      <c r="E24" s="193"/>
    </row>
    <row r="25" spans="1:2" ht="12.75">
      <c r="A25" s="180">
        <f t="shared" si="0"/>
        <v>12</v>
      </c>
      <c r="B25" s="189" t="s">
        <v>206</v>
      </c>
    </row>
    <row r="26" spans="1:5" ht="12.75">
      <c r="A26" s="180">
        <f t="shared" si="0"/>
        <v>13</v>
      </c>
      <c r="B26" s="77" t="s">
        <v>207</v>
      </c>
      <c r="C26" s="194">
        <v>64053396.23443845</v>
      </c>
      <c r="D26" s="194">
        <f>+C26*-$D$12</f>
        <v>-1755703.590785961</v>
      </c>
      <c r="E26" s="194">
        <v>682331.4588530665</v>
      </c>
    </row>
    <row r="27" spans="1:5" ht="12.75">
      <c r="A27" s="180">
        <f t="shared" si="0"/>
        <v>14</v>
      </c>
      <c r="B27" s="77" t="s">
        <v>208</v>
      </c>
      <c r="C27" s="192">
        <v>11284248.678986952</v>
      </c>
      <c r="D27" s="192">
        <f>+C27*-$D$12</f>
        <v>-309301.2562910329</v>
      </c>
      <c r="E27" s="192">
        <v>104802.56812393475</v>
      </c>
    </row>
    <row r="28" spans="1:5" ht="12.75">
      <c r="A28" s="180">
        <f t="shared" si="0"/>
        <v>15</v>
      </c>
      <c r="B28" s="172" t="s">
        <v>209</v>
      </c>
      <c r="C28" s="193">
        <f>SUM(C26:C27)</f>
        <v>75337644.9134254</v>
      </c>
      <c r="D28" s="193">
        <f>SUM(D26:D27)</f>
        <v>-2065004.847076994</v>
      </c>
      <c r="E28" s="193">
        <f>SUM(E26:E27)</f>
        <v>787134.0269770013</v>
      </c>
    </row>
    <row r="29" spans="1:5" ht="12.75">
      <c r="A29" s="180">
        <f t="shared" si="0"/>
        <v>16</v>
      </c>
      <c r="C29" s="193"/>
      <c r="D29" s="193"/>
      <c r="E29" s="193"/>
    </row>
    <row r="30" spans="1:5" ht="12.75">
      <c r="A30" s="180">
        <f t="shared" si="0"/>
        <v>17</v>
      </c>
      <c r="B30" s="189" t="s">
        <v>210</v>
      </c>
      <c r="C30" s="194"/>
      <c r="D30" s="194"/>
      <c r="E30" s="194"/>
    </row>
    <row r="31" spans="1:5" ht="12.75">
      <c r="A31" s="180">
        <f t="shared" si="0"/>
        <v>18</v>
      </c>
      <c r="B31" s="77" t="s">
        <v>211</v>
      </c>
      <c r="C31" s="192">
        <v>8124018</v>
      </c>
      <c r="D31" s="192">
        <f>+C31*-$D$12</f>
        <v>-222679.33338000037</v>
      </c>
      <c r="E31" s="192">
        <v>77938</v>
      </c>
    </row>
    <row r="32" spans="1:5" ht="12.75">
      <c r="A32" s="180">
        <f t="shared" si="0"/>
        <v>19</v>
      </c>
      <c r="B32" s="77" t="s">
        <v>212</v>
      </c>
      <c r="C32" s="192">
        <v>7863822</v>
      </c>
      <c r="D32" s="192">
        <f>+C32*-$D$12</f>
        <v>-215547.36102000036</v>
      </c>
      <c r="E32" s="192">
        <v>75442</v>
      </c>
    </row>
    <row r="33" spans="1:5" ht="12.75">
      <c r="A33" s="180">
        <f t="shared" si="0"/>
        <v>20</v>
      </c>
      <c r="B33" s="77" t="s">
        <v>213</v>
      </c>
      <c r="C33" s="192">
        <v>1736534.8668499999</v>
      </c>
      <c r="D33" s="192">
        <f>+C33*-$D$12</f>
        <v>-47598.420700358576</v>
      </c>
      <c r="E33" s="192">
        <v>16659</v>
      </c>
    </row>
    <row r="34" spans="1:5" ht="12.75">
      <c r="A34" s="180">
        <f t="shared" si="0"/>
        <v>21</v>
      </c>
      <c r="B34" s="77" t="s">
        <v>214</v>
      </c>
      <c r="C34" s="192">
        <v>1596162.4133985</v>
      </c>
      <c r="D34" s="192">
        <f>+C34*-$D$12</f>
        <v>-43750.81175125296</v>
      </c>
      <c r="E34" s="192">
        <v>15313</v>
      </c>
    </row>
    <row r="35" spans="1:5" ht="12.75">
      <c r="A35" s="180">
        <f t="shared" si="0"/>
        <v>22</v>
      </c>
      <c r="B35" s="189" t="s">
        <v>215</v>
      </c>
      <c r="C35" s="193">
        <f>SUM(C30:C34)</f>
        <v>19320537.2802485</v>
      </c>
      <c r="D35" s="193">
        <f>SUM(D30:D34)</f>
        <v>-529575.9268516123</v>
      </c>
      <c r="E35" s="193">
        <f>SUM(E30:E34)</f>
        <v>185352</v>
      </c>
    </row>
    <row r="36" spans="1:5" ht="12.75">
      <c r="A36" s="180">
        <f t="shared" si="0"/>
        <v>23</v>
      </c>
      <c r="B36" s="189"/>
      <c r="C36" s="193"/>
      <c r="D36" s="193"/>
      <c r="E36" s="193"/>
    </row>
    <row r="37" spans="1:5" ht="12.75">
      <c r="A37" s="180">
        <f t="shared" si="0"/>
        <v>24</v>
      </c>
      <c r="B37" s="196" t="s">
        <v>216</v>
      </c>
      <c r="C37" s="194"/>
      <c r="D37" s="194"/>
      <c r="E37" s="194"/>
    </row>
    <row r="38" spans="1:5" ht="12.75">
      <c r="A38" s="180">
        <f t="shared" si="0"/>
        <v>25</v>
      </c>
      <c r="B38" s="189" t="s">
        <v>217</v>
      </c>
      <c r="C38" s="194">
        <v>59359585.42672594</v>
      </c>
      <c r="D38" s="194">
        <v>-1627046.2365465607</v>
      </c>
      <c r="E38" s="194">
        <v>569466</v>
      </c>
    </row>
    <row r="39" spans="1:5" ht="12.75">
      <c r="A39" s="180">
        <f t="shared" si="0"/>
        <v>26</v>
      </c>
      <c r="B39" s="189" t="s">
        <v>199</v>
      </c>
      <c r="C39" s="194">
        <v>0</v>
      </c>
      <c r="D39" s="194">
        <v>0</v>
      </c>
      <c r="E39" s="194">
        <v>0</v>
      </c>
    </row>
    <row r="40" spans="1:5" ht="12.75">
      <c r="A40" s="180">
        <f t="shared" si="0"/>
        <v>27</v>
      </c>
      <c r="B40" s="189" t="s">
        <v>218</v>
      </c>
      <c r="C40" s="194">
        <v>5300777.703671861</v>
      </c>
      <c r="D40" s="194">
        <v>-145294.31685764596</v>
      </c>
      <c r="E40" s="194">
        <v>50853</v>
      </c>
    </row>
    <row r="41" spans="1:5" ht="12.75">
      <c r="A41" s="180">
        <f t="shared" si="0"/>
        <v>28</v>
      </c>
      <c r="B41" s="189" t="s">
        <v>219</v>
      </c>
      <c r="C41" s="194">
        <v>0</v>
      </c>
      <c r="D41" s="194">
        <v>0</v>
      </c>
      <c r="E41" s="194">
        <v>0</v>
      </c>
    </row>
    <row r="42" spans="1:5" ht="12.75">
      <c r="A42" s="180">
        <f t="shared" si="0"/>
        <v>29</v>
      </c>
      <c r="B42" s="189" t="s">
        <v>220</v>
      </c>
      <c r="C42" s="195">
        <v>11263593.17668915</v>
      </c>
      <c r="D42" s="195">
        <v>-308735.0889730501</v>
      </c>
      <c r="E42" s="195">
        <v>108057</v>
      </c>
    </row>
    <row r="43" spans="1:5" ht="12.75">
      <c r="A43" s="180">
        <f t="shared" si="0"/>
        <v>30</v>
      </c>
      <c r="B43" s="189" t="s">
        <v>221</v>
      </c>
      <c r="C43" s="194">
        <f>SUM(C38:C42)</f>
        <v>75923956.30708694</v>
      </c>
      <c r="D43" s="194">
        <f>SUM(D38:D42)</f>
        <v>-2081075.6423772569</v>
      </c>
      <c r="E43" s="194">
        <f>SUM(E38:E42)</f>
        <v>728376</v>
      </c>
    </row>
    <row r="44" spans="1:5" ht="12.75">
      <c r="A44" s="180">
        <f t="shared" si="0"/>
        <v>31</v>
      </c>
      <c r="B44" s="189"/>
      <c r="C44" s="194"/>
      <c r="D44" s="194"/>
      <c r="E44" s="194"/>
    </row>
    <row r="45" spans="1:5" ht="12.75">
      <c r="A45" s="180">
        <f t="shared" si="0"/>
        <v>32</v>
      </c>
      <c r="B45" s="188" t="s">
        <v>222</v>
      </c>
      <c r="C45" s="194"/>
      <c r="D45" s="194"/>
      <c r="E45" s="194"/>
    </row>
    <row r="46" spans="1:5" ht="12.75">
      <c r="A46" s="180">
        <f t="shared" si="0"/>
        <v>33</v>
      </c>
      <c r="B46" s="77" t="s">
        <v>57</v>
      </c>
      <c r="C46" s="197">
        <v>0</v>
      </c>
      <c r="D46" s="192">
        <f aca="true" t="shared" si="1" ref="D46:D58">+C46*-$D$12</f>
        <v>0</v>
      </c>
      <c r="E46" s="194">
        <v>0</v>
      </c>
    </row>
    <row r="47" spans="1:5" ht="12.75">
      <c r="A47" s="180">
        <f aca="true" t="shared" si="2" ref="A47:A78">A46+1</f>
        <v>34</v>
      </c>
      <c r="B47" s="77" t="s">
        <v>58</v>
      </c>
      <c r="C47" s="192">
        <v>6051142.857142857</v>
      </c>
      <c r="D47" s="192">
        <f t="shared" si="1"/>
        <v>-165861.82571428598</v>
      </c>
      <c r="E47" s="194">
        <v>58052</v>
      </c>
    </row>
    <row r="48" spans="1:5" ht="12.75">
      <c r="A48" s="180">
        <f t="shared" si="2"/>
        <v>35</v>
      </c>
      <c r="B48" s="77" t="s">
        <v>59</v>
      </c>
      <c r="C48" s="198">
        <v>3526620</v>
      </c>
      <c r="D48" s="192">
        <f t="shared" si="1"/>
        <v>-96664.65420000016</v>
      </c>
      <c r="E48" s="194">
        <v>33833</v>
      </c>
    </row>
    <row r="49" spans="1:5" ht="12.75">
      <c r="A49" s="180">
        <f t="shared" si="2"/>
        <v>36</v>
      </c>
      <c r="B49" s="77" t="s">
        <v>60</v>
      </c>
      <c r="C49" s="198">
        <v>1494701.7220710255</v>
      </c>
      <c r="D49" s="192">
        <f t="shared" si="1"/>
        <v>-40969.77420196688</v>
      </c>
      <c r="E49" s="194">
        <v>14339</v>
      </c>
    </row>
    <row r="50" spans="1:5" ht="12.75">
      <c r="A50" s="180">
        <f t="shared" si="2"/>
        <v>37</v>
      </c>
      <c r="B50" s="77" t="s">
        <v>61</v>
      </c>
      <c r="C50" s="198">
        <v>0</v>
      </c>
      <c r="D50" s="192">
        <f t="shared" si="1"/>
        <v>0</v>
      </c>
      <c r="E50" s="194">
        <v>0</v>
      </c>
    </row>
    <row r="51" spans="1:5" ht="12.75">
      <c r="A51" s="180">
        <f t="shared" si="2"/>
        <v>38</v>
      </c>
      <c r="B51" s="77" t="s">
        <v>62</v>
      </c>
      <c r="C51" s="198">
        <v>0</v>
      </c>
      <c r="D51" s="192">
        <f t="shared" si="1"/>
        <v>0</v>
      </c>
      <c r="E51" s="194">
        <v>0</v>
      </c>
    </row>
    <row r="52" spans="1:5" ht="12.75">
      <c r="A52" s="180">
        <f t="shared" si="2"/>
        <v>39</v>
      </c>
      <c r="B52" s="77" t="s">
        <v>63</v>
      </c>
      <c r="C52" s="198">
        <v>1925091.16</v>
      </c>
      <c r="D52" s="192">
        <f t="shared" si="1"/>
        <v>-52766.74869560009</v>
      </c>
      <c r="E52" s="194">
        <v>18468</v>
      </c>
    </row>
    <row r="53" spans="1:5" ht="12.75">
      <c r="A53" s="180">
        <f t="shared" si="2"/>
        <v>40</v>
      </c>
      <c r="B53" s="199" t="s">
        <v>223</v>
      </c>
      <c r="C53" s="198">
        <v>4162153.8237249996</v>
      </c>
      <c r="D53" s="192">
        <f t="shared" si="1"/>
        <v>-114084.63630830243</v>
      </c>
      <c r="E53" s="194">
        <v>39930</v>
      </c>
    </row>
    <row r="54" spans="1:5" ht="12.75">
      <c r="A54" s="180">
        <f t="shared" si="2"/>
        <v>41</v>
      </c>
      <c r="B54" s="77" t="s">
        <v>224</v>
      </c>
      <c r="C54" s="198">
        <v>-846708.3333333334</v>
      </c>
      <c r="D54" s="192">
        <f t="shared" si="1"/>
        <v>23208.275416666707</v>
      </c>
      <c r="E54" s="194">
        <v>-8123</v>
      </c>
    </row>
    <row r="55" spans="1:5" ht="12.75">
      <c r="A55" s="180">
        <f t="shared" si="2"/>
        <v>42</v>
      </c>
      <c r="B55" s="199" t="s">
        <v>225</v>
      </c>
      <c r="C55" s="198">
        <v>2487877.225753846</v>
      </c>
      <c r="D55" s="192">
        <f t="shared" si="1"/>
        <v>-68192.71475791304</v>
      </c>
      <c r="E55" s="194">
        <v>23867</v>
      </c>
    </row>
    <row r="56" spans="1:5" ht="12.75">
      <c r="A56" s="180">
        <f t="shared" si="2"/>
        <v>43</v>
      </c>
      <c r="B56" s="199" t="s">
        <v>226</v>
      </c>
      <c r="C56" s="198">
        <v>-392150</v>
      </c>
      <c r="D56" s="192">
        <f t="shared" si="1"/>
        <v>10748.831500000018</v>
      </c>
      <c r="E56" s="194">
        <v>-3762</v>
      </c>
    </row>
    <row r="57" spans="1:5" ht="12.75">
      <c r="A57" s="180">
        <f t="shared" si="2"/>
        <v>44</v>
      </c>
      <c r="B57" s="199" t="s">
        <v>227</v>
      </c>
      <c r="C57" s="198">
        <v>20223046.43554817</v>
      </c>
      <c r="D57" s="192">
        <f t="shared" si="1"/>
        <v>-554313.7027983763</v>
      </c>
      <c r="E57" s="194">
        <v>194010</v>
      </c>
    </row>
    <row r="58" spans="1:5" ht="12.75">
      <c r="A58" s="180">
        <f t="shared" si="2"/>
        <v>45</v>
      </c>
      <c r="B58" s="199" t="s">
        <v>228</v>
      </c>
      <c r="C58" s="198">
        <v>-1906266</v>
      </c>
      <c r="D58" s="192">
        <f t="shared" si="1"/>
        <v>52250.75106000009</v>
      </c>
      <c r="E58" s="194">
        <v>-18288</v>
      </c>
    </row>
    <row r="59" spans="1:5" ht="12.75">
      <c r="A59" s="180">
        <f t="shared" si="2"/>
        <v>46</v>
      </c>
      <c r="B59" s="172" t="s">
        <v>229</v>
      </c>
      <c r="C59" s="200">
        <f>SUM(C46:C58)</f>
        <v>36725508.89090757</v>
      </c>
      <c r="D59" s="200">
        <f>SUM(D46:D58)</f>
        <v>-1006646.1986997781</v>
      </c>
      <c r="E59" s="200">
        <f>SUM(E46:E58)</f>
        <v>352326</v>
      </c>
    </row>
    <row r="60" spans="1:5" ht="12.75">
      <c r="A60" s="180">
        <f t="shared" si="2"/>
        <v>47</v>
      </c>
      <c r="C60" s="201"/>
      <c r="D60" s="201"/>
      <c r="E60" s="201"/>
    </row>
    <row r="61" spans="1:5" ht="12.75">
      <c r="A61" s="180">
        <f t="shared" si="2"/>
        <v>48</v>
      </c>
      <c r="B61" s="172" t="s">
        <v>230</v>
      </c>
      <c r="C61" s="202">
        <v>32254250</v>
      </c>
      <c r="D61" s="192">
        <f>+C61*-$D$12</f>
        <v>-884088.9925000014</v>
      </c>
      <c r="E61" s="202">
        <v>0</v>
      </c>
    </row>
    <row r="62" spans="1:5" ht="12.75">
      <c r="A62" s="180">
        <f t="shared" si="2"/>
        <v>49</v>
      </c>
      <c r="C62" s="203"/>
      <c r="D62" s="195"/>
      <c r="E62" s="203"/>
    </row>
    <row r="63" spans="1:5" ht="12.75">
      <c r="A63" s="180">
        <f t="shared" si="2"/>
        <v>50</v>
      </c>
      <c r="B63" s="172" t="s">
        <v>231</v>
      </c>
      <c r="C63" s="202">
        <f>C59+C61</f>
        <v>68979758.89090757</v>
      </c>
      <c r="D63" s="202">
        <f>D59+D61</f>
        <v>-1890735.1911997795</v>
      </c>
      <c r="E63" s="202">
        <f>E59+E61</f>
        <v>352326</v>
      </c>
    </row>
    <row r="64" spans="1:5" ht="12.75">
      <c r="A64" s="180">
        <f t="shared" si="2"/>
        <v>51</v>
      </c>
      <c r="C64" s="202"/>
      <c r="D64" s="202"/>
      <c r="E64" s="202"/>
    </row>
    <row r="65" spans="1:5" ht="12.75">
      <c r="A65" s="180">
        <f t="shared" si="2"/>
        <v>52</v>
      </c>
      <c r="B65" s="189" t="s">
        <v>232</v>
      </c>
      <c r="C65" s="194"/>
      <c r="D65" s="173"/>
      <c r="E65" s="194">
        <f>D35+D28+D23+D18+D63+D43</f>
        <v>-6787971.194058621</v>
      </c>
    </row>
    <row r="66" spans="1:5" ht="12.75">
      <c r="A66" s="180">
        <f t="shared" si="2"/>
        <v>53</v>
      </c>
      <c r="B66" s="189" t="s">
        <v>233</v>
      </c>
      <c r="C66" s="192"/>
      <c r="D66" s="192"/>
      <c r="E66" s="192">
        <f>+E18+E23+E28+E35+E59+E43</f>
        <v>2130741.026977001</v>
      </c>
    </row>
    <row r="67" spans="1:5" ht="13.5" thickBot="1">
      <c r="A67" s="180">
        <f t="shared" si="2"/>
        <v>54</v>
      </c>
      <c r="B67" s="189" t="s">
        <v>234</v>
      </c>
      <c r="C67" s="192"/>
      <c r="D67" s="192"/>
      <c r="E67" s="204">
        <f>-E65-E66</f>
        <v>4657230.167081621</v>
      </c>
    </row>
    <row r="68" spans="1:5" ht="13.5" thickTop="1">
      <c r="A68" s="180">
        <f t="shared" si="2"/>
        <v>55</v>
      </c>
      <c r="C68" s="192"/>
      <c r="D68" s="192"/>
      <c r="E68" s="192"/>
    </row>
    <row r="69" spans="1:5" ht="12.75">
      <c r="A69" s="180">
        <f t="shared" si="2"/>
        <v>56</v>
      </c>
      <c r="B69" s="188" t="s">
        <v>235</v>
      </c>
      <c r="C69" s="192"/>
      <c r="D69" s="192"/>
      <c r="E69" s="192"/>
    </row>
    <row r="70" spans="1:5" ht="12.75">
      <c r="A70" s="180">
        <f t="shared" si="2"/>
        <v>57</v>
      </c>
      <c r="B70" s="77" t="s">
        <v>236</v>
      </c>
      <c r="C70" s="197">
        <v>2480979949.967897</v>
      </c>
      <c r="D70" s="191">
        <f aca="true" t="shared" si="3" ref="D70:D77">+C70*-$D$12</f>
        <v>-68003660.42862017</v>
      </c>
      <c r="E70" s="192"/>
    </row>
    <row r="71" spans="1:4" ht="12.75">
      <c r="A71" s="180">
        <f t="shared" si="2"/>
        <v>58</v>
      </c>
      <c r="B71" s="77" t="s">
        <v>237</v>
      </c>
      <c r="C71" s="205">
        <v>-1096832900.444686</v>
      </c>
      <c r="D71" s="194">
        <f t="shared" si="3"/>
        <v>30064189.80118889</v>
      </c>
    </row>
    <row r="72" spans="1:4" ht="12.75">
      <c r="A72" s="180">
        <f t="shared" si="2"/>
        <v>59</v>
      </c>
      <c r="B72" s="77" t="s">
        <v>238</v>
      </c>
      <c r="C72" s="205">
        <v>94342575.39965986</v>
      </c>
      <c r="D72" s="194">
        <f t="shared" si="3"/>
        <v>-2585929.991704681</v>
      </c>
    </row>
    <row r="73" spans="1:4" ht="12.75">
      <c r="A73" s="180">
        <f t="shared" si="2"/>
        <v>60</v>
      </c>
      <c r="B73" s="77" t="s">
        <v>239</v>
      </c>
      <c r="C73" s="205">
        <v>-8457749.424558647</v>
      </c>
      <c r="D73" s="194">
        <f t="shared" si="3"/>
        <v>231826.9117271529</v>
      </c>
    </row>
    <row r="74" spans="1:5" ht="12.75">
      <c r="A74" s="180">
        <f t="shared" si="2"/>
        <v>61</v>
      </c>
      <c r="B74" s="77" t="s">
        <v>240</v>
      </c>
      <c r="C74" s="198">
        <v>5656965</v>
      </c>
      <c r="D74" s="192">
        <f t="shared" si="3"/>
        <v>-155057.41065000027</v>
      </c>
      <c r="E74" s="192"/>
    </row>
    <row r="75" spans="1:5" ht="12.75">
      <c r="A75" s="180">
        <f t="shared" si="2"/>
        <v>62</v>
      </c>
      <c r="B75" s="77" t="s">
        <v>241</v>
      </c>
      <c r="C75" s="198">
        <v>1667334.26</v>
      </c>
      <c r="D75" s="192">
        <f t="shared" si="3"/>
        <v>-45701.632066600076</v>
      </c>
      <c r="E75" s="192"/>
    </row>
    <row r="76" spans="1:5" ht="12.75">
      <c r="A76" s="180">
        <f t="shared" si="2"/>
        <v>63</v>
      </c>
      <c r="B76" s="77" t="s">
        <v>242</v>
      </c>
      <c r="C76" s="198">
        <v>193075345.9083333</v>
      </c>
      <c r="D76" s="194">
        <f t="shared" si="3"/>
        <v>-5292195.231347425</v>
      </c>
      <c r="E76" s="194"/>
    </row>
    <row r="77" spans="1:5" ht="12.75">
      <c r="A77" s="180">
        <f t="shared" si="2"/>
        <v>64</v>
      </c>
      <c r="B77" s="189" t="s">
        <v>243</v>
      </c>
      <c r="C77" s="198">
        <v>-8515583.435046695</v>
      </c>
      <c r="D77" s="194">
        <f t="shared" si="3"/>
        <v>233412.1419546303</v>
      </c>
      <c r="E77" s="194"/>
    </row>
    <row r="78" spans="1:5" ht="12.75">
      <c r="A78" s="180">
        <f t="shared" si="2"/>
        <v>65</v>
      </c>
      <c r="B78" s="172" t="s">
        <v>244</v>
      </c>
      <c r="C78" s="206">
        <f>SUM(C70:C77)</f>
        <v>1661915937.2315989</v>
      </c>
      <c r="D78" s="206">
        <f>SUM(D70:D77)</f>
        <v>-45553115.83951821</v>
      </c>
      <c r="E78" s="194"/>
    </row>
    <row r="79" spans="1:5" ht="12.75">
      <c r="A79" s="180">
        <f aca="true" t="shared" si="4" ref="A79:A104">A78+1</f>
        <v>66</v>
      </c>
      <c r="B79" s="172" t="s">
        <v>245</v>
      </c>
      <c r="C79" s="205"/>
      <c r="D79" s="207"/>
      <c r="E79" s="194"/>
    </row>
    <row r="80" spans="1:5" ht="12.75">
      <c r="A80" s="180">
        <f t="shared" si="4"/>
        <v>67</v>
      </c>
      <c r="B80" s="77" t="s">
        <v>246</v>
      </c>
      <c r="C80" s="198">
        <v>-192034521</v>
      </c>
      <c r="D80" s="192">
        <f>+C80*-$D$12</f>
        <v>5263666.220610009</v>
      </c>
      <c r="E80" s="194"/>
    </row>
    <row r="81" spans="1:5" ht="12.75">
      <c r="A81" s="180">
        <f t="shared" si="4"/>
        <v>68</v>
      </c>
      <c r="B81" s="189" t="s">
        <v>247</v>
      </c>
      <c r="C81" s="198">
        <v>-3279416</v>
      </c>
      <c r="D81" s="192">
        <f>+C81*-$D$12</f>
        <v>89888.79256000015</v>
      </c>
      <c r="E81" s="194"/>
    </row>
    <row r="82" spans="1:5" ht="12.75">
      <c r="A82" s="180">
        <f t="shared" si="4"/>
        <v>69</v>
      </c>
      <c r="B82" s="189" t="s">
        <v>248</v>
      </c>
      <c r="C82" s="193">
        <f>SUM(C80:C81)</f>
        <v>-195313937</v>
      </c>
      <c r="D82" s="193">
        <f>SUM(D80:D81)</f>
        <v>5353555.013170009</v>
      </c>
      <c r="E82" s="194"/>
    </row>
    <row r="83" spans="1:5" ht="12.75">
      <c r="A83" s="180">
        <f t="shared" si="4"/>
        <v>70</v>
      </c>
      <c r="B83" s="77"/>
      <c r="C83" s="206"/>
      <c r="D83" s="193"/>
      <c r="E83" s="194"/>
    </row>
    <row r="84" spans="1:5" ht="13.5" thickBot="1">
      <c r="A84" s="180">
        <f t="shared" si="4"/>
        <v>71</v>
      </c>
      <c r="B84" s="189" t="s">
        <v>249</v>
      </c>
      <c r="C84" s="208">
        <f>C78+C82+C83</f>
        <v>1466602000.2315989</v>
      </c>
      <c r="D84" s="208">
        <f>D78+D82+D83</f>
        <v>-40199560.8263482</v>
      </c>
      <c r="E84" s="208">
        <f>SUM(C84:D84)</f>
        <v>1426402439.4052505</v>
      </c>
    </row>
    <row r="85" spans="1:5" ht="13.5" thickTop="1">
      <c r="A85" s="180">
        <f t="shared" si="4"/>
        <v>72</v>
      </c>
      <c r="C85" s="193"/>
      <c r="D85" s="209"/>
      <c r="E85" s="194"/>
    </row>
    <row r="86" spans="1:5" ht="12.75">
      <c r="A86" s="180">
        <f t="shared" si="4"/>
        <v>73</v>
      </c>
      <c r="B86" s="188" t="s">
        <v>250</v>
      </c>
      <c r="C86" s="194"/>
      <c r="D86" s="194"/>
      <c r="E86" s="194"/>
    </row>
    <row r="87" spans="1:5" ht="12.75">
      <c r="A87" s="180">
        <f t="shared" si="4"/>
        <v>74</v>
      </c>
      <c r="B87" s="77" t="s">
        <v>251</v>
      </c>
      <c r="C87" s="192">
        <v>0</v>
      </c>
      <c r="D87" s="192">
        <f aca="true" t="shared" si="5" ref="D87:D100">-ROUND(C87*$D$12,0)</f>
        <v>0</v>
      </c>
      <c r="E87" s="192"/>
    </row>
    <row r="88" spans="1:5" ht="12.75">
      <c r="A88" s="180">
        <f t="shared" si="4"/>
        <v>75</v>
      </c>
      <c r="B88" s="77" t="s">
        <v>252</v>
      </c>
      <c r="C88" s="192">
        <v>47565333.333333336</v>
      </c>
      <c r="D88" s="192">
        <f t="shared" si="5"/>
        <v>-1303766</v>
      </c>
      <c r="E88" s="192"/>
    </row>
    <row r="89" spans="1:5" ht="12.75">
      <c r="A89" s="180">
        <f t="shared" si="4"/>
        <v>76</v>
      </c>
      <c r="B89" s="77" t="s">
        <v>59</v>
      </c>
      <c r="C89" s="192">
        <v>16211898.00999999</v>
      </c>
      <c r="D89" s="192">
        <f t="shared" si="5"/>
        <v>-444368</v>
      </c>
      <c r="E89" s="192"/>
    </row>
    <row r="90" spans="1:5" ht="12.75">
      <c r="A90" s="180">
        <f t="shared" si="4"/>
        <v>77</v>
      </c>
      <c r="B90" s="77" t="s">
        <v>60</v>
      </c>
      <c r="C90" s="192">
        <v>30893115.25435887</v>
      </c>
      <c r="D90" s="192">
        <f t="shared" si="5"/>
        <v>-846780</v>
      </c>
      <c r="E90" s="192"/>
    </row>
    <row r="91" spans="1:5" ht="12.75">
      <c r="A91" s="180">
        <f t="shared" si="4"/>
        <v>78</v>
      </c>
      <c r="B91" s="77" t="s">
        <v>61</v>
      </c>
      <c r="C91" s="192">
        <v>19459946.740000002</v>
      </c>
      <c r="D91" s="192">
        <f t="shared" si="5"/>
        <v>-533397</v>
      </c>
      <c r="E91" s="192"/>
    </row>
    <row r="92" spans="1:5" ht="12.75">
      <c r="A92" s="180">
        <f t="shared" si="4"/>
        <v>79</v>
      </c>
      <c r="B92" s="199" t="s">
        <v>253</v>
      </c>
      <c r="C92" s="192">
        <v>-16250000</v>
      </c>
      <c r="D92" s="192">
        <f t="shared" si="5"/>
        <v>445413</v>
      </c>
      <c r="E92" s="192"/>
    </row>
    <row r="93" spans="1:5" ht="12.75">
      <c r="A93" s="180">
        <f t="shared" si="4"/>
        <v>80</v>
      </c>
      <c r="B93" s="77" t="s">
        <v>62</v>
      </c>
      <c r="C93" s="192">
        <v>0</v>
      </c>
      <c r="D93" s="192">
        <f t="shared" si="5"/>
        <v>0</v>
      </c>
      <c r="E93" s="192"/>
    </row>
    <row r="94" spans="1:5" ht="12.75">
      <c r="A94" s="180">
        <f t="shared" si="4"/>
        <v>81</v>
      </c>
      <c r="B94" s="77" t="s">
        <v>63</v>
      </c>
      <c r="C94" s="192">
        <v>938031.7108333327</v>
      </c>
      <c r="D94" s="192">
        <f t="shared" si="5"/>
        <v>-25711</v>
      </c>
      <c r="E94" s="192"/>
    </row>
    <row r="95" spans="1:5" ht="12.75">
      <c r="A95" s="180">
        <f t="shared" si="4"/>
        <v>82</v>
      </c>
      <c r="B95" s="199" t="s">
        <v>254</v>
      </c>
      <c r="C95" s="192">
        <v>2930760.940415205</v>
      </c>
      <c r="D95" s="192">
        <f t="shared" si="5"/>
        <v>-80332</v>
      </c>
      <c r="E95" s="192"/>
    </row>
    <row r="96" spans="1:5" ht="12.75">
      <c r="A96" s="180">
        <f t="shared" si="4"/>
        <v>83</v>
      </c>
      <c r="B96" s="77" t="s">
        <v>224</v>
      </c>
      <c r="C96" s="192">
        <v>-160521.7881944445</v>
      </c>
      <c r="D96" s="192">
        <f t="shared" si="5"/>
        <v>4400</v>
      </c>
      <c r="E96" s="192"/>
    </row>
    <row r="97" spans="1:5" ht="12.75">
      <c r="A97" s="180">
        <f t="shared" si="4"/>
        <v>84</v>
      </c>
      <c r="B97" s="199" t="s">
        <v>225</v>
      </c>
      <c r="C97" s="192">
        <v>7142280.868935</v>
      </c>
      <c r="D97" s="192">
        <f t="shared" si="5"/>
        <v>-195770</v>
      </c>
      <c r="E97" s="192"/>
    </row>
    <row r="98" spans="1:5" ht="12.75">
      <c r="A98" s="180">
        <f t="shared" si="4"/>
        <v>85</v>
      </c>
      <c r="B98" s="199" t="s">
        <v>226</v>
      </c>
      <c r="C98" s="192">
        <v>-2060421.4583333333</v>
      </c>
      <c r="D98" s="192">
        <f t="shared" si="5"/>
        <v>56476</v>
      </c>
      <c r="E98" s="192"/>
    </row>
    <row r="99" spans="1:5" ht="12.75">
      <c r="A99" s="180">
        <f t="shared" si="4"/>
        <v>86</v>
      </c>
      <c r="B99" s="199" t="s">
        <v>227</v>
      </c>
      <c r="C99" s="192">
        <v>32862450.457765784</v>
      </c>
      <c r="D99" s="192">
        <f t="shared" si="5"/>
        <v>-900760</v>
      </c>
      <c r="E99" s="192"/>
    </row>
    <row r="100" spans="1:5" ht="12.75">
      <c r="A100" s="180">
        <f t="shared" si="4"/>
        <v>87</v>
      </c>
      <c r="B100" s="199" t="s">
        <v>255</v>
      </c>
      <c r="C100" s="192">
        <v>-4765665</v>
      </c>
      <c r="D100" s="192">
        <f t="shared" si="5"/>
        <v>130627</v>
      </c>
      <c r="E100" s="192"/>
    </row>
    <row r="101" spans="1:5" ht="12.75">
      <c r="A101" s="180">
        <f t="shared" si="4"/>
        <v>88</v>
      </c>
      <c r="B101" s="77"/>
      <c r="C101" s="193"/>
      <c r="D101" s="193"/>
      <c r="E101" s="194"/>
    </row>
    <row r="102" spans="1:5" ht="13.5" thickBot="1">
      <c r="A102" s="180">
        <f t="shared" si="4"/>
        <v>89</v>
      </c>
      <c r="B102" s="172" t="s">
        <v>256</v>
      </c>
      <c r="C102" s="208">
        <f>SUM(C87:C101)</f>
        <v>134767209.06911373</v>
      </c>
      <c r="D102" s="208">
        <f>SUM(D87:D101)</f>
        <v>-3693968</v>
      </c>
      <c r="E102" s="208">
        <f>SUM(C102:D102)</f>
        <v>131073241.06911373</v>
      </c>
    </row>
    <row r="103" ht="13.5" thickTop="1">
      <c r="A103" s="180">
        <f t="shared" si="4"/>
        <v>90</v>
      </c>
    </row>
    <row r="104" spans="1:4" ht="13.5" thickBot="1">
      <c r="A104" s="180">
        <f t="shared" si="4"/>
        <v>91</v>
      </c>
      <c r="B104" s="172" t="s">
        <v>257</v>
      </c>
      <c r="D104" s="210">
        <f>D84+D102</f>
        <v>-43893528.8263482</v>
      </c>
    </row>
    <row r="105" ht="13.5" thickTop="1"/>
    <row r="106" ht="13.5">
      <c r="B106" s="75"/>
    </row>
  </sheetData>
  <sheetProtection/>
  <printOptions horizontalCentered="1"/>
  <pageMargins left="0.25" right="0.25" top="0.28" bottom="0.12" header="0.25" footer="0.18"/>
  <pageSetup fitToHeight="1" fitToWidth="1" horizontalDpi="600" verticalDpi="600" orientation="portrait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"/>
  <sheetViews>
    <sheetView zoomScalePageLayoutView="0" workbookViewId="0" topLeftCell="A1">
      <selection activeCell="C12" sqref="C12"/>
    </sheetView>
  </sheetViews>
  <sheetFormatPr defaultColWidth="9.33203125" defaultRowHeight="10.5"/>
  <cols>
    <col min="1" max="1" width="5.83203125" style="172" customWidth="1"/>
    <col min="2" max="2" width="45.16015625" style="172" customWidth="1"/>
    <col min="3" max="5" width="19.83203125" style="172" customWidth="1"/>
    <col min="6" max="16384" width="9.33203125" style="173" customWidth="1"/>
  </cols>
  <sheetData>
    <row r="1" spans="1:5" ht="12.75">
      <c r="A1" s="171"/>
      <c r="D1" s="4"/>
      <c r="E1" s="4"/>
    </row>
    <row r="2" spans="1:5" ht="12.75">
      <c r="A2" s="174"/>
      <c r="D2" s="4"/>
      <c r="E2" s="5"/>
    </row>
    <row r="3" spans="1:5" ht="12.75">
      <c r="A3" s="174"/>
      <c r="B3" s="171"/>
      <c r="C3" s="171"/>
      <c r="D3" s="171"/>
      <c r="E3" s="7"/>
    </row>
    <row r="4" spans="1:5" ht="12.75">
      <c r="A4" s="171"/>
      <c r="B4" s="211"/>
      <c r="C4" s="212"/>
      <c r="D4" s="212"/>
      <c r="E4" s="5"/>
    </row>
    <row r="5" spans="1:5" ht="12.75">
      <c r="A5" s="171"/>
      <c r="B5" s="171"/>
      <c r="C5" s="171"/>
      <c r="D5" s="171"/>
      <c r="E5" s="171"/>
    </row>
    <row r="6" spans="1:5" ht="12.75">
      <c r="A6" s="176" t="s">
        <v>188</v>
      </c>
      <c r="B6" s="177"/>
      <c r="C6" s="177"/>
      <c r="D6" s="176"/>
      <c r="E6" s="177"/>
    </row>
    <row r="7" spans="1:5" ht="12.75">
      <c r="A7" s="176" t="s">
        <v>259</v>
      </c>
      <c r="B7" s="177"/>
      <c r="C7" s="176"/>
      <c r="D7" s="177"/>
      <c r="E7" s="177"/>
    </row>
    <row r="8" spans="1:5" ht="12.75">
      <c r="A8" s="177" t="s">
        <v>258</v>
      </c>
      <c r="B8" s="177"/>
      <c r="C8" s="176"/>
      <c r="D8" s="177"/>
      <c r="E8" s="177"/>
    </row>
    <row r="9" spans="1:5" ht="12.75">
      <c r="A9" s="176" t="s">
        <v>190</v>
      </c>
      <c r="B9" s="177"/>
      <c r="C9" s="176"/>
      <c r="D9" s="176"/>
      <c r="E9" s="176"/>
    </row>
    <row r="10" spans="1:5" ht="12.75">
      <c r="A10" s="171"/>
      <c r="B10" s="171"/>
      <c r="C10" s="171"/>
      <c r="D10" s="213"/>
      <c r="E10" s="171"/>
    </row>
    <row r="11" spans="1:5" ht="12.75">
      <c r="A11" s="182" t="s">
        <v>191</v>
      </c>
      <c r="B11" s="214"/>
      <c r="C11" s="215"/>
      <c r="D11" s="181"/>
      <c r="E11" s="181" t="s">
        <v>260</v>
      </c>
    </row>
    <row r="12" spans="1:5" ht="12.75">
      <c r="A12" s="183" t="s">
        <v>195</v>
      </c>
      <c r="B12" s="184" t="s">
        <v>114</v>
      </c>
      <c r="C12" s="216" t="s">
        <v>261</v>
      </c>
      <c r="D12" s="216" t="s">
        <v>192</v>
      </c>
      <c r="E12" s="216" t="s">
        <v>262</v>
      </c>
    </row>
    <row r="13" spans="1:5" ht="12.75">
      <c r="A13" s="217"/>
      <c r="B13" s="218"/>
      <c r="C13" s="218"/>
      <c r="D13" s="218"/>
      <c r="E13" s="218"/>
    </row>
    <row r="14" spans="1:5" ht="12.75">
      <c r="A14" s="180">
        <v>1</v>
      </c>
      <c r="B14" s="172" t="s">
        <v>219</v>
      </c>
      <c r="C14" s="219">
        <v>173342970.82</v>
      </c>
      <c r="D14" s="219">
        <v>14813966.036890976</v>
      </c>
      <c r="E14" s="219">
        <f>D14-C14</f>
        <v>-158529004.783109</v>
      </c>
    </row>
    <row r="15" spans="1:5" ht="12.75">
      <c r="A15" s="180">
        <f aca="true" t="shared" si="0" ref="A15:A41">A14+1</f>
        <v>2</v>
      </c>
      <c r="C15" s="206"/>
      <c r="D15" s="206"/>
      <c r="E15" s="206"/>
    </row>
    <row r="16" spans="1:5" ht="12.75">
      <c r="A16" s="180">
        <f t="shared" si="0"/>
        <v>3</v>
      </c>
      <c r="B16" s="172" t="s">
        <v>263</v>
      </c>
      <c r="C16" s="205">
        <v>15804883.45</v>
      </c>
      <c r="D16" s="205">
        <v>214375.6221495112</v>
      </c>
      <c r="E16" s="205">
        <f>D16-C16</f>
        <v>-15590507.827850489</v>
      </c>
    </row>
    <row r="17" spans="1:5" ht="12.75">
      <c r="A17" s="180">
        <f t="shared" si="0"/>
        <v>4</v>
      </c>
      <c r="B17" s="172" t="s">
        <v>264</v>
      </c>
      <c r="C17" s="220">
        <v>11562467.33</v>
      </c>
      <c r="D17" s="220">
        <v>10102010.4928698</v>
      </c>
      <c r="E17" s="220">
        <f>D17-C17</f>
        <v>-1460456.8371302001</v>
      </c>
    </row>
    <row r="18" spans="1:5" ht="12.75">
      <c r="A18" s="180">
        <f t="shared" si="0"/>
        <v>5</v>
      </c>
      <c r="C18" s="205">
        <f>SUM(C16:C17)</f>
        <v>27367350.78</v>
      </c>
      <c r="D18" s="205">
        <f>SUM(D16:D17)</f>
        <v>10316386.11501931</v>
      </c>
      <c r="E18" s="205">
        <f>SUM(E16:E17)</f>
        <v>-17050964.664980687</v>
      </c>
    </row>
    <row r="19" spans="1:5" ht="12.75">
      <c r="A19" s="180">
        <f t="shared" si="0"/>
        <v>6</v>
      </c>
      <c r="C19" s="206"/>
      <c r="D19" s="206"/>
      <c r="E19" s="206"/>
    </row>
    <row r="20" spans="1:5" ht="12.75">
      <c r="A20" s="180">
        <f t="shared" si="0"/>
        <v>7</v>
      </c>
      <c r="B20" s="221" t="s">
        <v>265</v>
      </c>
      <c r="C20" s="192">
        <f>SUM(C14:C17)</f>
        <v>200710321.6</v>
      </c>
      <c r="D20" s="192">
        <f>SUM(D14:D17)</f>
        <v>25130352.151910286</v>
      </c>
      <c r="E20" s="192">
        <f>SUM(E14:E17)</f>
        <v>-175579969.4480897</v>
      </c>
    </row>
    <row r="21" spans="1:5" ht="12.75">
      <c r="A21" s="180">
        <f t="shared" si="0"/>
        <v>8</v>
      </c>
      <c r="C21" s="222"/>
      <c r="D21" s="222"/>
      <c r="E21" s="222"/>
    </row>
    <row r="22" spans="1:5" ht="12.75">
      <c r="A22" s="180">
        <f t="shared" si="0"/>
        <v>9</v>
      </c>
      <c r="B22" s="223" t="s">
        <v>217</v>
      </c>
      <c r="C22" s="224">
        <v>212821383.39000002</v>
      </c>
      <c r="D22" s="224">
        <v>213255379.24654225</v>
      </c>
      <c r="E22" s="224">
        <f>D22-C22</f>
        <v>433995.85654222965</v>
      </c>
    </row>
    <row r="23" spans="1:5" ht="12.75">
      <c r="A23" s="180">
        <f t="shared" si="0"/>
        <v>10</v>
      </c>
      <c r="B23" s="223"/>
      <c r="C23" s="225"/>
      <c r="D23" s="225"/>
      <c r="E23" s="225"/>
    </row>
    <row r="24" spans="1:5" ht="12.75">
      <c r="A24" s="180">
        <f t="shared" si="0"/>
        <v>11</v>
      </c>
      <c r="B24" s="223" t="s">
        <v>266</v>
      </c>
      <c r="C24" s="205">
        <v>888547930.79</v>
      </c>
      <c r="D24" s="226">
        <v>661723848.9787108</v>
      </c>
      <c r="E24" s="227">
        <f>D24-C24</f>
        <v>-226824081.8112892</v>
      </c>
    </row>
    <row r="25" spans="1:5" ht="12.75">
      <c r="A25" s="180">
        <f t="shared" si="0"/>
        <v>12</v>
      </c>
      <c r="B25" s="223" t="s">
        <v>267</v>
      </c>
      <c r="C25" s="205">
        <v>0</v>
      </c>
      <c r="D25" s="226">
        <v>297532.0970811</v>
      </c>
      <c r="E25" s="227">
        <f>D25-C25</f>
        <v>297532.0970811</v>
      </c>
    </row>
    <row r="26" spans="1:5" ht="12.75">
      <c r="A26" s="180">
        <f t="shared" si="0"/>
        <v>13</v>
      </c>
      <c r="B26" s="223" t="s">
        <v>268</v>
      </c>
      <c r="C26" s="220">
        <v>0</v>
      </c>
      <c r="D26" s="228">
        <v>-5622297.8488170095</v>
      </c>
      <c r="E26" s="220">
        <f>D26-C26</f>
        <v>-5622297.8488170095</v>
      </c>
    </row>
    <row r="27" spans="1:5" ht="12.75">
      <c r="A27" s="180">
        <f t="shared" si="0"/>
        <v>14</v>
      </c>
      <c r="B27" s="223" t="s">
        <v>269</v>
      </c>
      <c r="C27" s="191">
        <f>SUM(C24:C26)</f>
        <v>888547930.79</v>
      </c>
      <c r="D27" s="191">
        <f>SUM(D24:D26)</f>
        <v>656399083.2269748</v>
      </c>
      <c r="E27" s="191">
        <f>SUM(E24:E26)</f>
        <v>-232148847.56302512</v>
      </c>
    </row>
    <row r="28" spans="1:5" ht="12.75">
      <c r="A28" s="180">
        <f t="shared" si="0"/>
        <v>15</v>
      </c>
      <c r="B28" s="223" t="s">
        <v>218</v>
      </c>
      <c r="C28" s="205">
        <v>68962374.82666667</v>
      </c>
      <c r="D28" s="205">
        <v>75739190.06076154</v>
      </c>
      <c r="E28" s="205">
        <f>D28-C28</f>
        <v>6776815.234094873</v>
      </c>
    </row>
    <row r="29" spans="1:5" ht="12.75">
      <c r="A29" s="180">
        <f t="shared" si="0"/>
        <v>16</v>
      </c>
      <c r="B29" s="223"/>
      <c r="C29" s="205"/>
      <c r="D29" s="205"/>
      <c r="E29" s="205"/>
    </row>
    <row r="30" spans="1:5" ht="12.75">
      <c r="A30" s="180">
        <f t="shared" si="0"/>
        <v>17</v>
      </c>
      <c r="B30" s="172" t="s">
        <v>270</v>
      </c>
      <c r="C30" s="229">
        <f>C22+C27+C28</f>
        <v>1170331689.0066667</v>
      </c>
      <c r="D30" s="229">
        <f>D22+D27+D28</f>
        <v>945393652.5342786</v>
      </c>
      <c r="E30" s="229">
        <f>E22+E27+E28</f>
        <v>-224938036.47238803</v>
      </c>
    </row>
    <row r="31" spans="1:5" ht="12.75">
      <c r="A31" s="180">
        <f t="shared" si="0"/>
        <v>18</v>
      </c>
      <c r="B31" s="230" t="s">
        <v>271</v>
      </c>
      <c r="C31" s="198">
        <v>92332638.23</v>
      </c>
      <c r="D31" s="198">
        <v>88928860.35467431</v>
      </c>
      <c r="E31" s="198">
        <f>D31-C31</f>
        <v>-3403777.8753256947</v>
      </c>
    </row>
    <row r="32" spans="1:5" ht="12.75">
      <c r="A32" s="180">
        <f t="shared" si="0"/>
        <v>19</v>
      </c>
      <c r="B32" s="223" t="s">
        <v>272</v>
      </c>
      <c r="C32" s="220">
        <v>1497265.75</v>
      </c>
      <c r="D32" s="220">
        <v>1456224.96635</v>
      </c>
      <c r="E32" s="220">
        <f>D32-C32</f>
        <v>-41040.783650000114</v>
      </c>
    </row>
    <row r="33" spans="1:5" ht="12.75">
      <c r="A33" s="180">
        <f t="shared" si="0"/>
        <v>20</v>
      </c>
      <c r="E33" s="231"/>
    </row>
    <row r="34" spans="1:5" ht="12.75">
      <c r="A34" s="180">
        <f t="shared" si="0"/>
        <v>21</v>
      </c>
      <c r="B34" s="221" t="s">
        <v>273</v>
      </c>
      <c r="C34" s="191">
        <f>SUM(C30:C32)</f>
        <v>1264161592.9866667</v>
      </c>
      <c r="D34" s="191">
        <f>SUM(D30:D32)</f>
        <v>1035778737.8553029</v>
      </c>
      <c r="E34" s="191">
        <f>SUM(E30:E32)</f>
        <v>-228382855.13136372</v>
      </c>
    </row>
    <row r="35" spans="1:5" ht="12.75">
      <c r="A35" s="180">
        <f t="shared" si="0"/>
        <v>22</v>
      </c>
      <c r="C35" s="222"/>
      <c r="D35" s="222"/>
      <c r="E35" s="222"/>
    </row>
    <row r="36" spans="1:5" ht="12.75">
      <c r="A36" s="180">
        <f t="shared" si="0"/>
        <v>23</v>
      </c>
      <c r="B36" s="223" t="str">
        <f>"INCREASE (DECREASE) OPERATING INCOME (LINE "&amp;A20&amp;" - LINE "&amp;A34&amp;")"</f>
        <v>INCREASE (DECREASE) OPERATING INCOME (LINE 7 - LINE 21)</v>
      </c>
      <c r="C36" s="219">
        <f>C20-C34</f>
        <v>-1063451271.3866667</v>
      </c>
      <c r="D36" s="219">
        <f>D20-D34</f>
        <v>-1010648385.7033926</v>
      </c>
      <c r="E36" s="219">
        <f>E20-E34</f>
        <v>52802885.68327403</v>
      </c>
    </row>
    <row r="37" ht="12.75">
      <c r="A37" s="180">
        <f t="shared" si="0"/>
        <v>24</v>
      </c>
    </row>
    <row r="38" spans="1:5" ht="12.75">
      <c r="A38" s="180">
        <f t="shared" si="0"/>
        <v>25</v>
      </c>
      <c r="B38" s="172" t="str">
        <f>"REDUCTION TO STATE UTILITY TAX SAVINGS FOR LINE "&amp;A17</f>
        <v>REDUCTION TO STATE UTILITY TAX SAVINGS FOR LINE 4</v>
      </c>
      <c r="C38" s="187">
        <v>0.03873</v>
      </c>
      <c r="E38" s="232">
        <f>E17*C38</f>
        <v>-56563.49330205265</v>
      </c>
    </row>
    <row r="39" spans="1:5" ht="12.75">
      <c r="A39" s="180">
        <f t="shared" si="0"/>
        <v>26</v>
      </c>
      <c r="B39" s="189" t="s">
        <v>274</v>
      </c>
      <c r="C39" s="190"/>
      <c r="D39" s="190"/>
      <c r="E39" s="233">
        <f>E36-E38</f>
        <v>52859449.176576085</v>
      </c>
    </row>
    <row r="40" spans="1:5" ht="12.75">
      <c r="A40" s="180">
        <f t="shared" si="0"/>
        <v>27</v>
      </c>
      <c r="B40" s="189" t="s">
        <v>275</v>
      </c>
      <c r="C40" s="234">
        <v>0.35</v>
      </c>
      <c r="D40" s="235"/>
      <c r="E40" s="205">
        <v>18500807.21180163</v>
      </c>
    </row>
    <row r="41" spans="1:5" ht="13.5" thickBot="1">
      <c r="A41" s="180">
        <f t="shared" si="0"/>
        <v>28</v>
      </c>
      <c r="B41" s="189" t="s">
        <v>276</v>
      </c>
      <c r="C41" s="190" t="s">
        <v>41</v>
      </c>
      <c r="D41" s="236"/>
      <c r="E41" s="237">
        <f>+E39-E40</f>
        <v>34358641.96477446</v>
      </c>
    </row>
    <row r="42" ht="13.5" thickTop="1">
      <c r="A42" s="180"/>
    </row>
    <row r="43" ht="12.75">
      <c r="A43" s="180"/>
    </row>
    <row r="45" ht="13.5">
      <c r="A45" s="75"/>
    </row>
    <row r="47" ht="12.75">
      <c r="A47" s="238"/>
    </row>
    <row r="48" ht="12.75">
      <c r="A48" s="238"/>
    </row>
    <row r="49" spans="1:2" ht="12.75">
      <c r="A49" s="238"/>
      <c r="B49" s="235"/>
    </row>
    <row r="50" ht="12.75">
      <c r="A50" s="238"/>
    </row>
    <row r="54" ht="12.75">
      <c r="A54" s="7" t="s">
        <v>41</v>
      </c>
    </row>
    <row r="55" ht="12.75">
      <c r="A55" s="7" t="s">
        <v>41</v>
      </c>
    </row>
    <row r="56" ht="12.75">
      <c r="A56" s="7" t="s">
        <v>41</v>
      </c>
    </row>
    <row r="61" ht="12.75">
      <c r="E61" s="239"/>
    </row>
  </sheetData>
  <sheetProtection/>
  <printOptions horizontalCentered="1"/>
  <pageMargins left="0.7" right="0.7" top="0.75" bottom="0.75" header="0.3" footer="0.3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49"/>
  <sheetViews>
    <sheetView tabSelected="1" zoomScaleSheetLayoutView="88" zoomScalePageLayoutView="0" workbookViewId="0" topLeftCell="A1">
      <pane ySplit="9" topLeftCell="A132" activePane="bottomLeft" state="frozen"/>
      <selection pane="topLeft" activeCell="A1" sqref="A1"/>
      <selection pane="bottomLeft" activeCell="G7" sqref="G7"/>
    </sheetView>
  </sheetViews>
  <sheetFormatPr defaultColWidth="10.66015625" defaultRowHeight="10.5"/>
  <cols>
    <col min="1" max="1" width="7.33203125" style="260" customWidth="1"/>
    <col min="2" max="2" width="14.5" style="246" customWidth="1"/>
    <col min="3" max="3" width="2.33203125" style="246" customWidth="1"/>
    <col min="4" max="4" width="13.5" style="246" hidden="1" customWidth="1"/>
    <col min="5" max="5" width="16.33203125" style="246" bestFit="1" customWidth="1"/>
    <col min="6" max="6" width="14" style="246" hidden="1" customWidth="1"/>
    <col min="7" max="7" width="16.16015625" style="246" customWidth="1"/>
    <col min="8" max="8" width="1.0078125" style="249" customWidth="1"/>
    <col min="9" max="9" width="15.33203125" style="348" customWidth="1"/>
    <col min="10" max="10" width="15.33203125" style="348" hidden="1" customWidth="1"/>
    <col min="11" max="11" width="16" style="348" bestFit="1" customWidth="1"/>
    <col min="12" max="12" width="6" style="249" bestFit="1" customWidth="1"/>
    <col min="13" max="13" width="1.3359375" style="249" customWidth="1"/>
    <col min="14" max="14" width="12.66015625" style="244" bestFit="1" customWidth="1"/>
    <col min="15" max="15" width="14.83203125" style="246" bestFit="1" customWidth="1"/>
    <col min="16" max="16" width="14.5" style="246" bestFit="1" customWidth="1"/>
    <col min="17" max="17" width="13.5" style="272" bestFit="1" customWidth="1"/>
    <col min="18" max="16384" width="10.66015625" style="246" customWidth="1"/>
  </cols>
  <sheetData>
    <row r="1" spans="1:17" s="241" customFormat="1" ht="12.75">
      <c r="A1" s="240" t="s">
        <v>277</v>
      </c>
      <c r="C1" s="242"/>
      <c r="D1" s="242"/>
      <c r="E1" s="242"/>
      <c r="F1" s="242"/>
      <c r="G1" s="242"/>
      <c r="H1" s="243"/>
      <c r="N1" s="244"/>
      <c r="O1" s="242"/>
      <c r="P1" s="242"/>
      <c r="Q1" s="245"/>
    </row>
    <row r="2" spans="1:20" s="241" customFormat="1" ht="12.75">
      <c r="A2" s="240" t="s">
        <v>278</v>
      </c>
      <c r="C2" s="242"/>
      <c r="D2" s="242"/>
      <c r="I2" s="242"/>
      <c r="J2" s="242"/>
      <c r="M2" s="240"/>
      <c r="N2" s="243"/>
      <c r="Q2" s="240"/>
      <c r="T2" s="244"/>
    </row>
    <row r="3" spans="1:17" s="241" customFormat="1" ht="12.75">
      <c r="A3" s="240" t="s">
        <v>279</v>
      </c>
      <c r="C3" s="242"/>
      <c r="D3" s="242"/>
      <c r="F3" s="242"/>
      <c r="H3" s="243"/>
      <c r="N3" s="244"/>
      <c r="O3" s="242"/>
      <c r="P3" s="242"/>
      <c r="Q3" s="245"/>
    </row>
    <row r="4" spans="1:17" s="241" customFormat="1" ht="12.75">
      <c r="A4" s="240"/>
      <c r="C4" s="242"/>
      <c r="D4" s="242"/>
      <c r="F4" s="242"/>
      <c r="H4" s="243"/>
      <c r="N4" s="244"/>
      <c r="O4" s="242"/>
      <c r="P4" s="242"/>
      <c r="Q4" s="245"/>
    </row>
    <row r="5" spans="1:17" ht="12.75">
      <c r="A5" s="246"/>
      <c r="C5" s="247"/>
      <c r="D5" s="247"/>
      <c r="E5" s="248" t="s">
        <v>280</v>
      </c>
      <c r="F5" s="248"/>
      <c r="G5" s="248"/>
      <c r="I5" s="250" t="s">
        <v>281</v>
      </c>
      <c r="J5" s="250"/>
      <c r="K5" s="250"/>
      <c r="L5" s="251"/>
      <c r="M5" s="251"/>
      <c r="N5" s="252"/>
      <c r="O5" s="253"/>
      <c r="P5" s="253"/>
      <c r="Q5" s="253"/>
    </row>
    <row r="6" spans="1:17" ht="12.75">
      <c r="A6" s="246"/>
      <c r="C6" s="247"/>
      <c r="D6" s="247"/>
      <c r="E6" s="254"/>
      <c r="F6" s="254"/>
      <c r="G6" s="254" t="s">
        <v>282</v>
      </c>
      <c r="I6" s="255"/>
      <c r="J6" s="255"/>
      <c r="K6" s="255"/>
      <c r="L6" s="256"/>
      <c r="M6" s="256"/>
      <c r="N6" s="257"/>
      <c r="O6" s="258"/>
      <c r="P6" s="258"/>
      <c r="Q6" s="259"/>
    </row>
    <row r="7" spans="3:17" ht="12.75">
      <c r="C7" s="247"/>
      <c r="D7" s="247"/>
      <c r="E7" s="247"/>
      <c r="F7" s="247"/>
      <c r="G7" s="261" t="s">
        <v>283</v>
      </c>
      <c r="I7" s="255"/>
      <c r="J7" s="255"/>
      <c r="K7" s="255"/>
      <c r="L7" s="256"/>
      <c r="M7" s="256"/>
      <c r="N7" s="262" t="s">
        <v>284</v>
      </c>
      <c r="O7" s="253"/>
      <c r="P7" s="262"/>
      <c r="Q7" s="253"/>
    </row>
    <row r="8" spans="1:17" ht="12.75">
      <c r="A8" s="263" t="s">
        <v>285</v>
      </c>
      <c r="B8" s="264" t="s">
        <v>160</v>
      </c>
      <c r="C8" s="265"/>
      <c r="D8" s="263" t="s">
        <v>286</v>
      </c>
      <c r="E8" s="266" t="s">
        <v>287</v>
      </c>
      <c r="F8" s="263" t="s">
        <v>288</v>
      </c>
      <c r="G8" s="263" t="s">
        <v>289</v>
      </c>
      <c r="H8" s="267"/>
      <c r="I8" s="266" t="s">
        <v>287</v>
      </c>
      <c r="J8" s="266" t="s">
        <v>290</v>
      </c>
      <c r="K8" s="250" t="s">
        <v>357</v>
      </c>
      <c r="L8" s="268"/>
      <c r="M8" s="267"/>
      <c r="N8" s="269" t="s">
        <v>291</v>
      </c>
      <c r="O8" s="270" t="s">
        <v>292</v>
      </c>
      <c r="P8" s="263" t="s">
        <v>293</v>
      </c>
      <c r="Q8" s="263" t="s">
        <v>294</v>
      </c>
    </row>
    <row r="9" spans="1:17" ht="12.75">
      <c r="A9" s="271"/>
      <c r="B9" s="272"/>
      <c r="C9" s="259"/>
      <c r="D9" s="273"/>
      <c r="E9" s="274"/>
      <c r="F9" s="275"/>
      <c r="G9" s="274" t="s">
        <v>295</v>
      </c>
      <c r="H9" s="276"/>
      <c r="I9" s="274"/>
      <c r="J9" s="274" t="s">
        <v>296</v>
      </c>
      <c r="K9" s="274" t="s">
        <v>295</v>
      </c>
      <c r="L9" s="277"/>
      <c r="M9" s="278"/>
      <c r="N9" s="279"/>
      <c r="O9" s="280"/>
      <c r="P9" s="273"/>
      <c r="Q9" s="273"/>
    </row>
    <row r="10" spans="1:17" ht="12.75">
      <c r="A10" s="281">
        <f>ROW()</f>
        <v>10</v>
      </c>
      <c r="B10" s="282"/>
      <c r="C10" s="283"/>
      <c r="D10" s="284"/>
      <c r="E10" s="284"/>
      <c r="F10" s="284"/>
      <c r="G10" s="285"/>
      <c r="H10" s="286"/>
      <c r="I10" s="287"/>
      <c r="J10" s="288"/>
      <c r="K10" s="289"/>
      <c r="L10" s="290"/>
      <c r="M10" s="286"/>
      <c r="N10" s="291"/>
      <c r="O10" s="292"/>
      <c r="P10" s="284"/>
      <c r="Q10" s="284"/>
    </row>
    <row r="11" spans="1:17" ht="12.75">
      <c r="A11" s="271">
        <f>ROW()</f>
        <v>11</v>
      </c>
      <c r="B11" s="293" t="s">
        <v>297</v>
      </c>
      <c r="C11" s="259"/>
      <c r="D11" s="273"/>
      <c r="E11" s="273"/>
      <c r="F11" s="273"/>
      <c r="G11" s="294"/>
      <c r="H11" s="278"/>
      <c r="I11" s="295" t="s">
        <v>298</v>
      </c>
      <c r="J11" s="296"/>
      <c r="K11" s="255"/>
      <c r="L11" s="277"/>
      <c r="M11" s="278"/>
      <c r="N11" s="279"/>
      <c r="O11" s="280"/>
      <c r="P11" s="273"/>
      <c r="Q11" s="294"/>
    </row>
    <row r="12" spans="1:17" s="260" customFormat="1" ht="12.75" hidden="1">
      <c r="A12" s="271">
        <f>ROW()</f>
        <v>12</v>
      </c>
      <c r="B12" s="271" t="s">
        <v>299</v>
      </c>
      <c r="C12" s="297" t="s">
        <v>300</v>
      </c>
      <c r="D12" s="298"/>
      <c r="E12" s="298"/>
      <c r="F12" s="298"/>
      <c r="G12" s="299">
        <v>12588000</v>
      </c>
      <c r="H12" s="300"/>
      <c r="I12" s="301"/>
      <c r="J12" s="302"/>
      <c r="K12" s="302"/>
      <c r="L12" s="303"/>
      <c r="M12" s="300"/>
      <c r="N12" s="304"/>
      <c r="O12" s="280"/>
      <c r="P12" s="273"/>
      <c r="Q12" s="280"/>
    </row>
    <row r="13" spans="1:17" ht="12.75" hidden="1">
      <c r="A13" s="271">
        <f>ROW()</f>
        <v>13</v>
      </c>
      <c r="B13" s="305" t="s">
        <v>301</v>
      </c>
      <c r="C13" s="297" t="s">
        <v>300</v>
      </c>
      <c r="D13" s="299">
        <v>709000</v>
      </c>
      <c r="E13" s="299">
        <v>-312000</v>
      </c>
      <c r="F13" s="299">
        <v>-4121000</v>
      </c>
      <c r="G13" s="299">
        <f aca="true" t="shared" si="0" ref="G13:G19">G12+SUM(D13:F13)</f>
        <v>8864000</v>
      </c>
      <c r="H13" s="300"/>
      <c r="I13" s="306"/>
      <c r="J13" s="299"/>
      <c r="K13" s="299"/>
      <c r="L13" s="303"/>
      <c r="M13" s="300"/>
      <c r="N13" s="304"/>
      <c r="O13" s="259"/>
      <c r="P13" s="259"/>
      <c r="Q13" s="259"/>
    </row>
    <row r="14" spans="1:17" ht="12.75" hidden="1">
      <c r="A14" s="271">
        <f>ROW()</f>
        <v>14</v>
      </c>
      <c r="B14" s="305" t="s">
        <v>302</v>
      </c>
      <c r="C14" s="297" t="s">
        <v>300</v>
      </c>
      <c r="D14" s="299">
        <v>720000</v>
      </c>
      <c r="E14" s="299">
        <v>-741000</v>
      </c>
      <c r="F14" s="299">
        <v>301000</v>
      </c>
      <c r="G14" s="299">
        <f t="shared" si="0"/>
        <v>9144000</v>
      </c>
      <c r="H14" s="300"/>
      <c r="I14" s="306"/>
      <c r="J14" s="299"/>
      <c r="K14" s="299"/>
      <c r="L14" s="303"/>
      <c r="M14" s="300"/>
      <c r="N14" s="304"/>
      <c r="O14" s="259"/>
      <c r="P14" s="259"/>
      <c r="Q14" s="259"/>
    </row>
    <row r="15" spans="1:17" ht="12.75" hidden="1">
      <c r="A15" s="271">
        <f>ROW()</f>
        <v>15</v>
      </c>
      <c r="B15" s="305" t="s">
        <v>303</v>
      </c>
      <c r="C15" s="297" t="s">
        <v>300</v>
      </c>
      <c r="D15" s="299">
        <v>548000</v>
      </c>
      <c r="E15" s="299">
        <v>-1070000</v>
      </c>
      <c r="F15" s="299">
        <v>377000</v>
      </c>
      <c r="G15" s="299">
        <f t="shared" si="0"/>
        <v>8999000</v>
      </c>
      <c r="H15" s="300"/>
      <c r="I15" s="306"/>
      <c r="J15" s="299"/>
      <c r="K15" s="299"/>
      <c r="L15" s="307"/>
      <c r="M15" s="300"/>
      <c r="N15" s="304"/>
      <c r="O15" s="308"/>
      <c r="P15" s="308"/>
      <c r="Q15" s="309"/>
    </row>
    <row r="16" spans="1:17" ht="12.75" hidden="1">
      <c r="A16" s="271">
        <f>ROW()</f>
        <v>16</v>
      </c>
      <c r="B16" s="305" t="s">
        <v>304</v>
      </c>
      <c r="C16" s="297" t="s">
        <v>300</v>
      </c>
      <c r="D16" s="299">
        <v>0</v>
      </c>
      <c r="E16" s="299">
        <v>-1409000</v>
      </c>
      <c r="F16" s="299">
        <v>584000</v>
      </c>
      <c r="G16" s="299">
        <f t="shared" si="0"/>
        <v>8174000</v>
      </c>
      <c r="H16" s="300"/>
      <c r="I16" s="306"/>
      <c r="J16" s="299"/>
      <c r="K16" s="299"/>
      <c r="L16" s="303"/>
      <c r="M16" s="300"/>
      <c r="N16" s="304"/>
      <c r="O16" s="259"/>
      <c r="P16" s="259"/>
      <c r="Q16" s="309"/>
    </row>
    <row r="17" spans="1:17" ht="12.75" hidden="1">
      <c r="A17" s="271">
        <f>ROW()</f>
        <v>17</v>
      </c>
      <c r="B17" s="305" t="s">
        <v>305</v>
      </c>
      <c r="C17" s="297" t="s">
        <v>300</v>
      </c>
      <c r="D17" s="299">
        <v>0</v>
      </c>
      <c r="E17" s="299">
        <v>-1768000</v>
      </c>
      <c r="F17" s="299">
        <v>601000</v>
      </c>
      <c r="G17" s="299">
        <f t="shared" si="0"/>
        <v>7007000</v>
      </c>
      <c r="H17" s="300"/>
      <c r="I17" s="306"/>
      <c r="J17" s="299"/>
      <c r="K17" s="299"/>
      <c r="L17" s="303"/>
      <c r="M17" s="300"/>
      <c r="N17" s="304"/>
      <c r="O17" s="308"/>
      <c r="P17" s="308"/>
      <c r="Q17" s="309"/>
    </row>
    <row r="18" spans="1:17" ht="12.75" hidden="1">
      <c r="A18" s="271">
        <f>ROW()</f>
        <v>18</v>
      </c>
      <c r="B18" s="305" t="s">
        <v>306</v>
      </c>
      <c r="C18" s="297" t="s">
        <v>300</v>
      </c>
      <c r="D18" s="299">
        <v>0</v>
      </c>
      <c r="E18" s="299">
        <v>-2163000</v>
      </c>
      <c r="F18" s="299">
        <v>620000</v>
      </c>
      <c r="G18" s="299">
        <f t="shared" si="0"/>
        <v>5464000</v>
      </c>
      <c r="H18" s="300"/>
      <c r="I18" s="310">
        <v>-1965500</v>
      </c>
      <c r="J18" s="311">
        <v>201666.66666666666</v>
      </c>
      <c r="K18" s="299">
        <v>8621791.666666666</v>
      </c>
      <c r="L18" s="312">
        <v>38533</v>
      </c>
      <c r="M18" s="313"/>
      <c r="N18" s="314" t="s">
        <v>307</v>
      </c>
      <c r="O18" s="315">
        <v>621239.064805936</v>
      </c>
      <c r="P18" s="315">
        <f aca="true" t="shared" si="1" ref="P18:P23">+O18/(1-0.35)</f>
        <v>955752.4073937476</v>
      </c>
      <c r="Q18" s="308">
        <f aca="true" t="shared" si="2" ref="Q18:Q23">P18/12</f>
        <v>79646.03394947897</v>
      </c>
    </row>
    <row r="19" spans="1:17" ht="12.75" hidden="1">
      <c r="A19" s="271">
        <f>ROW()</f>
        <v>19</v>
      </c>
      <c r="B19" s="316" t="s">
        <v>308</v>
      </c>
      <c r="C19" s="317" t="s">
        <v>300</v>
      </c>
      <c r="D19" s="318">
        <v>0</v>
      </c>
      <c r="E19" s="319">
        <v>-2614000</v>
      </c>
      <c r="F19" s="318">
        <v>641000</v>
      </c>
      <c r="G19" s="319">
        <f t="shared" si="0"/>
        <v>3491000</v>
      </c>
      <c r="H19" s="320"/>
      <c r="I19" s="321">
        <v>-2388500</v>
      </c>
      <c r="J19" s="322">
        <v>206666.66666666666</v>
      </c>
      <c r="K19" s="318">
        <v>5410125</v>
      </c>
      <c r="L19" s="323">
        <v>38898</v>
      </c>
      <c r="M19" s="324"/>
      <c r="N19" s="325">
        <v>0.07010000000000001</v>
      </c>
      <c r="O19" s="326">
        <f>K19*N19</f>
        <v>379249.76250000007</v>
      </c>
      <c r="P19" s="326">
        <f t="shared" si="1"/>
        <v>583461.1730769231</v>
      </c>
      <c r="Q19" s="327">
        <f t="shared" si="2"/>
        <v>48621.76442307693</v>
      </c>
    </row>
    <row r="20" spans="1:17" ht="12.75" hidden="1">
      <c r="A20" s="271">
        <f>ROW()</f>
        <v>20</v>
      </c>
      <c r="B20" s="328"/>
      <c r="C20" s="329"/>
      <c r="D20" s="330"/>
      <c r="E20" s="331"/>
      <c r="F20" s="330"/>
      <c r="G20" s="331"/>
      <c r="H20" s="332"/>
      <c r="I20" s="333">
        <v>-1307000</v>
      </c>
      <c r="J20" s="334"/>
      <c r="K20" s="330">
        <v>3984333.3333333335</v>
      </c>
      <c r="L20" s="335">
        <v>39082</v>
      </c>
      <c r="M20" s="332"/>
      <c r="N20" s="336">
        <f>$N$19</f>
        <v>0.07010000000000001</v>
      </c>
      <c r="O20" s="337">
        <f>K20*N20</f>
        <v>279301.7666666667</v>
      </c>
      <c r="P20" s="337">
        <f t="shared" si="1"/>
        <v>429695.0256410257</v>
      </c>
      <c r="Q20" s="338">
        <f t="shared" si="2"/>
        <v>35807.918803418805</v>
      </c>
    </row>
    <row r="21" spans="1:17" ht="12.75" hidden="1">
      <c r="A21" s="271">
        <f>ROW()</f>
        <v>21</v>
      </c>
      <c r="B21" s="305" t="s">
        <v>309</v>
      </c>
      <c r="C21" s="297" t="s">
        <v>300</v>
      </c>
      <c r="D21" s="299">
        <v>0</v>
      </c>
      <c r="E21" s="299">
        <v>-3078000</v>
      </c>
      <c r="F21" s="299">
        <v>181000</v>
      </c>
      <c r="G21" s="299">
        <v>1374000</v>
      </c>
      <c r="H21" s="300"/>
      <c r="I21" s="310">
        <v>-3078000</v>
      </c>
      <c r="J21" s="339"/>
      <c r="K21" s="299">
        <v>2791458.3333333335</v>
      </c>
      <c r="L21" s="340">
        <v>39447</v>
      </c>
      <c r="M21" s="300"/>
      <c r="N21" s="314" t="s">
        <v>310</v>
      </c>
      <c r="O21" s="315">
        <v>197031.07134703195</v>
      </c>
      <c r="P21" s="315">
        <f t="shared" si="1"/>
        <v>303124.7251492799</v>
      </c>
      <c r="Q21" s="308">
        <f t="shared" si="2"/>
        <v>25260.393762439995</v>
      </c>
    </row>
    <row r="22" spans="1:17" ht="12.75">
      <c r="A22" s="271">
        <f>ROW()</f>
        <v>22</v>
      </c>
      <c r="B22" s="305" t="s">
        <v>311</v>
      </c>
      <c r="C22" s="297" t="s">
        <v>300</v>
      </c>
      <c r="D22" s="299">
        <v>0</v>
      </c>
      <c r="E22" s="299">
        <v>-1410000</v>
      </c>
      <c r="F22" s="299">
        <v>36000</v>
      </c>
      <c r="G22" s="299">
        <v>0</v>
      </c>
      <c r="H22" s="300"/>
      <c r="I22" s="310">
        <v>-1410000</v>
      </c>
      <c r="J22" s="339"/>
      <c r="K22" s="299">
        <v>691208.3333333334</v>
      </c>
      <c r="L22" s="340">
        <v>39813</v>
      </c>
      <c r="M22" s="300"/>
      <c r="N22" s="314" t="s">
        <v>312</v>
      </c>
      <c r="O22" s="315">
        <v>48730.18750000002</v>
      </c>
      <c r="P22" s="315">
        <f t="shared" si="1"/>
        <v>74969.51923076926</v>
      </c>
      <c r="Q22" s="308">
        <f t="shared" si="2"/>
        <v>6247.459935897438</v>
      </c>
    </row>
    <row r="23" spans="1:17" ht="12.75" hidden="1">
      <c r="A23" s="271">
        <f>ROW()</f>
        <v>23</v>
      </c>
      <c r="B23" s="305" t="s">
        <v>313</v>
      </c>
      <c r="C23" s="297" t="s">
        <v>300</v>
      </c>
      <c r="D23" s="299">
        <v>0</v>
      </c>
      <c r="E23" s="299">
        <v>0</v>
      </c>
      <c r="F23" s="299">
        <v>0</v>
      </c>
      <c r="G23" s="299">
        <v>0</v>
      </c>
      <c r="H23" s="300"/>
      <c r="I23" s="310">
        <v>0</v>
      </c>
      <c r="J23" s="339"/>
      <c r="K23" s="299">
        <v>0</v>
      </c>
      <c r="L23" s="340">
        <v>40178</v>
      </c>
      <c r="M23" s="300"/>
      <c r="N23" s="304">
        <v>0.07</v>
      </c>
      <c r="O23" s="315">
        <f>K23*N23</f>
        <v>0</v>
      </c>
      <c r="P23" s="315">
        <f t="shared" si="1"/>
        <v>0</v>
      </c>
      <c r="Q23" s="308">
        <f t="shared" si="2"/>
        <v>0</v>
      </c>
    </row>
    <row r="24" spans="1:17" ht="12.75" hidden="1">
      <c r="A24" s="271">
        <f>ROW()</f>
        <v>24</v>
      </c>
      <c r="B24" s="305"/>
      <c r="C24" s="297"/>
      <c r="D24" s="299"/>
      <c r="E24" s="299"/>
      <c r="F24" s="299"/>
      <c r="G24" s="299"/>
      <c r="H24" s="300"/>
      <c r="I24" s="306"/>
      <c r="J24" s="299"/>
      <c r="K24" s="299"/>
      <c r="L24" s="340"/>
      <c r="M24" s="300"/>
      <c r="N24" s="304"/>
      <c r="O24" s="308"/>
      <c r="P24" s="308"/>
      <c r="Q24" s="308"/>
    </row>
    <row r="25" spans="1:17" ht="12.75">
      <c r="A25" s="281">
        <f>ROW()</f>
        <v>25</v>
      </c>
      <c r="B25" s="283"/>
      <c r="C25" s="341"/>
      <c r="D25" s="318"/>
      <c r="E25" s="318"/>
      <c r="F25" s="318"/>
      <c r="G25" s="318"/>
      <c r="H25" s="320"/>
      <c r="I25" s="342"/>
      <c r="J25" s="318"/>
      <c r="K25" s="318"/>
      <c r="L25" s="343"/>
      <c r="M25" s="320"/>
      <c r="N25" s="291"/>
      <c r="O25" s="344"/>
      <c r="P25" s="344"/>
      <c r="Q25" s="344"/>
    </row>
    <row r="26" spans="1:17" ht="12.75">
      <c r="A26" s="271">
        <f>ROW()</f>
        <v>26</v>
      </c>
      <c r="B26" s="293" t="s">
        <v>314</v>
      </c>
      <c r="C26" s="297"/>
      <c r="D26" s="299"/>
      <c r="E26" s="299"/>
      <c r="F26" s="299"/>
      <c r="G26" s="299"/>
      <c r="H26" s="300"/>
      <c r="I26" s="345" t="s">
        <v>315</v>
      </c>
      <c r="J26" s="299"/>
      <c r="K26" s="299"/>
      <c r="L26" s="340"/>
      <c r="M26" s="300"/>
      <c r="N26" s="279"/>
      <c r="O26" s="346"/>
      <c r="P26" s="346"/>
      <c r="Q26" s="259"/>
    </row>
    <row r="27" spans="1:17" ht="12.75" hidden="1">
      <c r="A27" s="271">
        <f>ROW()</f>
        <v>27</v>
      </c>
      <c r="B27" s="271" t="s">
        <v>299</v>
      </c>
      <c r="C27" s="297" t="s">
        <v>300</v>
      </c>
      <c r="D27" s="299"/>
      <c r="E27" s="299"/>
      <c r="F27" s="299"/>
      <c r="G27" s="299">
        <v>215000000</v>
      </c>
      <c r="H27" s="300"/>
      <c r="I27" s="306"/>
      <c r="J27" s="299"/>
      <c r="K27" s="299"/>
      <c r="L27" s="340"/>
      <c r="M27" s="300"/>
      <c r="N27" s="279"/>
      <c r="O27" s="346"/>
      <c r="P27" s="346"/>
      <c r="Q27" s="259"/>
    </row>
    <row r="28" spans="1:17" ht="12.75" hidden="1">
      <c r="A28" s="271">
        <f>ROW()</f>
        <v>28</v>
      </c>
      <c r="B28" s="305" t="s">
        <v>316</v>
      </c>
      <c r="C28" s="297" t="s">
        <v>300</v>
      </c>
      <c r="D28" s="299">
        <v>8754000</v>
      </c>
      <c r="E28" s="299">
        <v>-1952000</v>
      </c>
      <c r="F28" s="299">
        <v>-2954000</v>
      </c>
      <c r="G28" s="299">
        <f aca="true" t="shared" si="3" ref="G28:G36">G27+SUM(D28:F28)</f>
        <v>218848000</v>
      </c>
      <c r="H28" s="300"/>
      <c r="I28" s="306"/>
      <c r="J28" s="299"/>
      <c r="K28" s="299"/>
      <c r="L28" s="340"/>
      <c r="M28" s="300"/>
      <c r="N28" s="279"/>
      <c r="O28" s="346"/>
      <c r="P28" s="346"/>
      <c r="Q28" s="259"/>
    </row>
    <row r="29" spans="1:17" ht="12.75" hidden="1">
      <c r="A29" s="271">
        <f>ROW()</f>
        <v>29</v>
      </c>
      <c r="B29" s="305" t="s">
        <v>317</v>
      </c>
      <c r="C29" s="297" t="s">
        <v>300</v>
      </c>
      <c r="D29" s="299">
        <v>8795000</v>
      </c>
      <c r="E29" s="299">
        <v>-3863000</v>
      </c>
      <c r="F29" s="299">
        <v>-2860000</v>
      </c>
      <c r="G29" s="299">
        <f t="shared" si="3"/>
        <v>220920000</v>
      </c>
      <c r="H29" s="300"/>
      <c r="I29" s="306"/>
      <c r="J29" s="299"/>
      <c r="K29" s="299"/>
      <c r="L29" s="340"/>
      <c r="M29" s="300"/>
      <c r="N29" s="279"/>
      <c r="O29" s="346"/>
      <c r="P29" s="346"/>
      <c r="Q29" s="259"/>
    </row>
    <row r="30" spans="1:17" ht="12.75" hidden="1">
      <c r="A30" s="271">
        <f>ROW()</f>
        <v>30</v>
      </c>
      <c r="B30" s="305" t="s">
        <v>301</v>
      </c>
      <c r="C30" s="297" t="s">
        <v>300</v>
      </c>
      <c r="D30" s="299">
        <v>8849000</v>
      </c>
      <c r="E30" s="299">
        <v>-5463000</v>
      </c>
      <c r="F30" s="299">
        <v>-2789000</v>
      </c>
      <c r="G30" s="299">
        <f t="shared" si="3"/>
        <v>221517000</v>
      </c>
      <c r="H30" s="300"/>
      <c r="I30" s="306"/>
      <c r="J30" s="299"/>
      <c r="K30" s="299"/>
      <c r="L30" s="340"/>
      <c r="M30" s="300"/>
      <c r="N30" s="279"/>
      <c r="O30" s="346"/>
      <c r="P30" s="346"/>
      <c r="Q30" s="259"/>
    </row>
    <row r="31" spans="1:17" ht="12.75" hidden="1">
      <c r="A31" s="271">
        <f>ROW()</f>
        <v>31</v>
      </c>
      <c r="B31" s="305" t="s">
        <v>302</v>
      </c>
      <c r="C31" s="297" t="s">
        <v>300</v>
      </c>
      <c r="D31" s="299">
        <v>8838000</v>
      </c>
      <c r="E31" s="299">
        <v>-7382000</v>
      </c>
      <c r="F31" s="299">
        <v>-2677000</v>
      </c>
      <c r="G31" s="299">
        <f t="shared" si="3"/>
        <v>220296000</v>
      </c>
      <c r="H31" s="300"/>
      <c r="I31" s="306"/>
      <c r="J31" s="299"/>
      <c r="K31" s="299"/>
      <c r="L31" s="340"/>
      <c r="M31" s="300"/>
      <c r="N31" s="279"/>
      <c r="O31" s="346"/>
      <c r="P31" s="346"/>
      <c r="Q31" s="259"/>
    </row>
    <row r="32" spans="1:17" ht="12.75" hidden="1">
      <c r="A32" s="271">
        <f>ROW()</f>
        <v>32</v>
      </c>
      <c r="B32" s="305" t="s">
        <v>303</v>
      </c>
      <c r="C32" s="297" t="s">
        <v>300</v>
      </c>
      <c r="D32" s="299">
        <v>6562000</v>
      </c>
      <c r="E32" s="299">
        <v>-9494000</v>
      </c>
      <c r="F32" s="299">
        <v>-1760000</v>
      </c>
      <c r="G32" s="299">
        <f t="shared" si="3"/>
        <v>215604000</v>
      </c>
      <c r="H32" s="300"/>
      <c r="I32" s="306"/>
      <c r="J32" s="299"/>
      <c r="K32" s="299"/>
      <c r="L32" s="340"/>
      <c r="M32" s="300"/>
      <c r="N32" s="304"/>
      <c r="O32" s="308"/>
      <c r="P32" s="308"/>
      <c r="Q32" s="309"/>
    </row>
    <row r="33" spans="1:17" ht="12.75" hidden="1">
      <c r="A33" s="271">
        <f>ROW()</f>
        <v>33</v>
      </c>
      <c r="B33" s="305" t="s">
        <v>304</v>
      </c>
      <c r="C33" s="297" t="s">
        <v>300</v>
      </c>
      <c r="D33" s="299">
        <v>0</v>
      </c>
      <c r="E33" s="299">
        <v>-11924000</v>
      </c>
      <c r="F33" s="299">
        <v>675000</v>
      </c>
      <c r="G33" s="299">
        <f t="shared" si="3"/>
        <v>204355000</v>
      </c>
      <c r="H33" s="300"/>
      <c r="I33" s="306"/>
      <c r="J33" s="299"/>
      <c r="K33" s="299"/>
      <c r="L33" s="340"/>
      <c r="M33" s="300"/>
      <c r="N33" s="304"/>
      <c r="O33" s="308"/>
      <c r="P33" s="308"/>
      <c r="Q33" s="309"/>
    </row>
    <row r="34" spans="1:18" ht="12.75" hidden="1">
      <c r="A34" s="271">
        <f>ROW()</f>
        <v>34</v>
      </c>
      <c r="B34" s="305" t="s">
        <v>305</v>
      </c>
      <c r="C34" s="297" t="s">
        <v>300</v>
      </c>
      <c r="D34" s="299">
        <v>0</v>
      </c>
      <c r="E34" s="299">
        <v>-14744000</v>
      </c>
      <c r="F34" s="299">
        <v>834000</v>
      </c>
      <c r="G34" s="299">
        <f t="shared" si="3"/>
        <v>190445000</v>
      </c>
      <c r="H34" s="300"/>
      <c r="I34" s="306"/>
      <c r="J34" s="299"/>
      <c r="K34" s="299"/>
      <c r="L34" s="340"/>
      <c r="M34" s="300"/>
      <c r="N34" s="304"/>
      <c r="O34" s="308"/>
      <c r="P34" s="308"/>
      <c r="Q34" s="309"/>
      <c r="R34" s="347"/>
    </row>
    <row r="35" spans="1:17" ht="12.75" hidden="1">
      <c r="A35" s="271">
        <f>ROW()</f>
        <v>35</v>
      </c>
      <c r="B35" s="305" t="s">
        <v>306</v>
      </c>
      <c r="C35" s="297" t="s">
        <v>300</v>
      </c>
      <c r="D35" s="299">
        <v>0</v>
      </c>
      <c r="E35" s="299">
        <v>-17908000</v>
      </c>
      <c r="F35" s="299">
        <v>1013000</v>
      </c>
      <c r="G35" s="299">
        <f t="shared" si="3"/>
        <v>173550000</v>
      </c>
      <c r="H35" s="300"/>
      <c r="I35" s="306">
        <v>-16326000</v>
      </c>
      <c r="J35" s="311">
        <v>329497.31182795705</v>
      </c>
      <c r="K35" s="299">
        <v>198322583.33333334</v>
      </c>
      <c r="L35" s="312">
        <v>38533</v>
      </c>
      <c r="M35" s="313"/>
      <c r="N35" s="314" t="str">
        <f>N18</f>
        <v>7.3%&amp;7.01%</v>
      </c>
      <c r="O35" s="315">
        <v>14290038.655913249</v>
      </c>
      <c r="P35" s="315">
        <f aca="true" t="shared" si="4" ref="P35:P43">+O35/(1-0.35)</f>
        <v>21984674.855251152</v>
      </c>
      <c r="Q35" s="308">
        <f aca="true" t="shared" si="5" ref="Q35:Q43">P35/12</f>
        <v>1832056.237937596</v>
      </c>
    </row>
    <row r="36" spans="1:17" ht="12.75" hidden="1">
      <c r="A36" s="271">
        <f>ROW()</f>
        <v>36</v>
      </c>
      <c r="B36" s="316" t="s">
        <v>308</v>
      </c>
      <c r="C36" s="317" t="s">
        <v>300</v>
      </c>
      <c r="D36" s="318">
        <v>0</v>
      </c>
      <c r="E36" s="319">
        <v>-20615000</v>
      </c>
      <c r="F36" s="318">
        <v>1165000</v>
      </c>
      <c r="G36" s="319">
        <f t="shared" si="3"/>
        <v>154100000</v>
      </c>
      <c r="H36" s="320"/>
      <c r="I36" s="321">
        <v>-19261500</v>
      </c>
      <c r="J36" s="322">
        <v>337666.6666666667</v>
      </c>
      <c r="K36" s="318">
        <v>173230500</v>
      </c>
      <c r="L36" s="323">
        <v>38898</v>
      </c>
      <c r="M36" s="324"/>
      <c r="N36" s="325">
        <f>$N$19</f>
        <v>0.07010000000000001</v>
      </c>
      <c r="O36" s="326">
        <f>K36*N36</f>
        <v>12143458.05</v>
      </c>
      <c r="P36" s="326">
        <f t="shared" si="4"/>
        <v>18682243.153846156</v>
      </c>
      <c r="Q36" s="327">
        <f t="shared" si="5"/>
        <v>1556853.5961538462</v>
      </c>
    </row>
    <row r="37" spans="1:17" ht="12.75" hidden="1">
      <c r="A37" s="271">
        <f>ROW()</f>
        <v>37</v>
      </c>
      <c r="B37" s="328"/>
      <c r="C37" s="329"/>
      <c r="D37" s="330"/>
      <c r="E37" s="331"/>
      <c r="F37" s="330"/>
      <c r="G37" s="331"/>
      <c r="H37" s="332"/>
      <c r="I37" s="333">
        <v>-10307500</v>
      </c>
      <c r="J37" s="334"/>
      <c r="K37" s="330">
        <v>158961666.66666666</v>
      </c>
      <c r="L37" s="335">
        <v>39082</v>
      </c>
      <c r="M37" s="332"/>
      <c r="N37" s="336">
        <f>$N$19</f>
        <v>0.07010000000000001</v>
      </c>
      <c r="O37" s="337">
        <f>K37*N37</f>
        <v>11143212.833333334</v>
      </c>
      <c r="P37" s="337">
        <f t="shared" si="4"/>
        <v>17143404.35897436</v>
      </c>
      <c r="Q37" s="338">
        <f t="shared" si="5"/>
        <v>1428617.02991453</v>
      </c>
    </row>
    <row r="38" spans="1:17" ht="12.75" hidden="1">
      <c r="A38" s="271">
        <f>ROW()</f>
        <v>38</v>
      </c>
      <c r="B38" s="305" t="s">
        <v>309</v>
      </c>
      <c r="C38" s="297" t="s">
        <v>300</v>
      </c>
      <c r="D38" s="299">
        <v>0</v>
      </c>
      <c r="E38" s="299">
        <v>-24343000</v>
      </c>
      <c r="F38" s="299">
        <v>1447000</v>
      </c>
      <c r="G38" s="299">
        <v>131477000</v>
      </c>
      <c r="H38" s="300"/>
      <c r="I38" s="310">
        <v>-24343000</v>
      </c>
      <c r="J38" s="299"/>
      <c r="K38" s="299">
        <v>142912958.33333334</v>
      </c>
      <c r="L38" s="340">
        <v>39447</v>
      </c>
      <c r="M38" s="300"/>
      <c r="N38" s="314" t="s">
        <v>310</v>
      </c>
      <c r="O38" s="315">
        <v>10087305.604223749</v>
      </c>
      <c r="P38" s="315">
        <f t="shared" si="4"/>
        <v>15518931.698805766</v>
      </c>
      <c r="Q38" s="308">
        <f t="shared" si="5"/>
        <v>1293244.3082338138</v>
      </c>
    </row>
    <row r="39" spans="1:17" ht="12.75">
      <c r="A39" s="271">
        <f>ROW()</f>
        <v>39</v>
      </c>
      <c r="B39" s="305" t="s">
        <v>311</v>
      </c>
      <c r="C39" s="297" t="s">
        <v>300</v>
      </c>
      <c r="D39" s="299">
        <v>0</v>
      </c>
      <c r="E39" s="299">
        <v>-28272000</v>
      </c>
      <c r="F39" s="299">
        <v>1681000</v>
      </c>
      <c r="G39" s="299">
        <v>104886000</v>
      </c>
      <c r="H39" s="300"/>
      <c r="I39" s="310">
        <v>-28272000</v>
      </c>
      <c r="J39" s="299"/>
      <c r="K39" s="310">
        <v>118181041.66666667</v>
      </c>
      <c r="L39" s="340">
        <v>39813</v>
      </c>
      <c r="M39" s="300"/>
      <c r="N39" s="314" t="str">
        <f>$N$22</f>
        <v>7.06%&amp;7.00%</v>
      </c>
      <c r="O39" s="315">
        <v>8331763.437500003</v>
      </c>
      <c r="P39" s="315">
        <f t="shared" si="4"/>
        <v>12818097.59615385</v>
      </c>
      <c r="Q39" s="308">
        <f t="shared" si="5"/>
        <v>1068174.7996794875</v>
      </c>
    </row>
    <row r="40" spans="1:17" ht="12.75" hidden="1">
      <c r="A40" s="271">
        <f>ROW()</f>
        <v>40</v>
      </c>
      <c r="B40" s="305" t="s">
        <v>313</v>
      </c>
      <c r="C40" s="297" t="s">
        <v>300</v>
      </c>
      <c r="D40" s="299">
        <v>0</v>
      </c>
      <c r="E40" s="299">
        <v>-32676000</v>
      </c>
      <c r="F40" s="299">
        <v>1943000</v>
      </c>
      <c r="G40" s="299">
        <v>74153000</v>
      </c>
      <c r="H40" s="300"/>
      <c r="I40" s="310">
        <v>-32676000</v>
      </c>
      <c r="J40" s="299"/>
      <c r="K40" s="310">
        <v>89519208.33333333</v>
      </c>
      <c r="L40" s="340">
        <v>40178</v>
      </c>
      <c r="M40" s="300"/>
      <c r="N40" s="304">
        <f>$N$23</f>
        <v>0.07</v>
      </c>
      <c r="O40" s="315">
        <f>K40*N40</f>
        <v>6266344.583333334</v>
      </c>
      <c r="P40" s="315">
        <f t="shared" si="4"/>
        <v>9640530.128205128</v>
      </c>
      <c r="Q40" s="308">
        <f t="shared" si="5"/>
        <v>803377.5106837606</v>
      </c>
    </row>
    <row r="41" spans="1:17" ht="12.75" hidden="1">
      <c r="A41" s="271">
        <f>ROW()</f>
        <v>41</v>
      </c>
      <c r="B41" s="305" t="s">
        <v>318</v>
      </c>
      <c r="C41" s="297" t="s">
        <v>300</v>
      </c>
      <c r="D41" s="299">
        <v>0</v>
      </c>
      <c r="E41" s="299">
        <v>-37533000</v>
      </c>
      <c r="F41" s="299">
        <v>2231000</v>
      </c>
      <c r="G41" s="299">
        <v>38851000</v>
      </c>
      <c r="H41" s="300"/>
      <c r="I41" s="310">
        <v>-37533000</v>
      </c>
      <c r="J41" s="299"/>
      <c r="K41" s="310">
        <v>56501833.333333336</v>
      </c>
      <c r="L41" s="340">
        <v>40543</v>
      </c>
      <c r="M41" s="300"/>
      <c r="N41" s="304">
        <f>$N$23</f>
        <v>0.07</v>
      </c>
      <c r="O41" s="315">
        <f>K41*N41</f>
        <v>3955128.333333334</v>
      </c>
      <c r="P41" s="315">
        <f t="shared" si="4"/>
        <v>6084812.820512821</v>
      </c>
      <c r="Q41" s="308">
        <f t="shared" si="5"/>
        <v>507067.73504273506</v>
      </c>
    </row>
    <row r="42" spans="1:17" ht="12.75" hidden="1">
      <c r="A42" s="271">
        <f>ROW()</f>
        <v>42</v>
      </c>
      <c r="B42" s="305" t="s">
        <v>319</v>
      </c>
      <c r="C42" s="297" t="s">
        <v>300</v>
      </c>
      <c r="D42" s="299">
        <v>0</v>
      </c>
      <c r="E42" s="299">
        <v>-40629000</v>
      </c>
      <c r="F42" s="299">
        <v>1778000</v>
      </c>
      <c r="G42" s="299">
        <v>0</v>
      </c>
      <c r="H42" s="300"/>
      <c r="I42" s="310">
        <v>-40629000</v>
      </c>
      <c r="J42" s="299"/>
      <c r="K42" s="310">
        <v>19424708.333333332</v>
      </c>
      <c r="L42" s="340">
        <v>40908</v>
      </c>
      <c r="M42" s="300"/>
      <c r="N42" s="304">
        <f>$N$23</f>
        <v>0.07</v>
      </c>
      <c r="O42" s="315">
        <f>K42*N42</f>
        <v>1359729.5833333335</v>
      </c>
      <c r="P42" s="315">
        <f t="shared" si="4"/>
        <v>2091891.6666666667</v>
      </c>
      <c r="Q42" s="308">
        <f t="shared" si="5"/>
        <v>174324.30555555556</v>
      </c>
    </row>
    <row r="43" spans="1:17" ht="12.75" hidden="1">
      <c r="A43" s="271">
        <f>ROW()</f>
        <v>43</v>
      </c>
      <c r="B43" s="305" t="s">
        <v>320</v>
      </c>
      <c r="C43" s="297" t="s">
        <v>300</v>
      </c>
      <c r="D43" s="299">
        <v>0</v>
      </c>
      <c r="E43" s="299">
        <v>0</v>
      </c>
      <c r="F43" s="299">
        <v>0</v>
      </c>
      <c r="G43" s="299">
        <v>0</v>
      </c>
      <c r="H43" s="300"/>
      <c r="I43" s="310">
        <v>0</v>
      </c>
      <c r="K43" s="310">
        <v>0</v>
      </c>
      <c r="L43" s="340">
        <v>41274</v>
      </c>
      <c r="M43" s="300"/>
      <c r="N43" s="304">
        <f>$N$23</f>
        <v>0.07</v>
      </c>
      <c r="O43" s="315">
        <f>K43*N43</f>
        <v>0</v>
      </c>
      <c r="P43" s="315">
        <f t="shared" si="4"/>
        <v>0</v>
      </c>
      <c r="Q43" s="308">
        <f t="shared" si="5"/>
        <v>0</v>
      </c>
    </row>
    <row r="44" spans="1:17" ht="12.75" hidden="1">
      <c r="A44" s="349">
        <f>ROW()</f>
        <v>44</v>
      </c>
      <c r="B44" s="350"/>
      <c r="C44" s="351"/>
      <c r="D44" s="330"/>
      <c r="E44" s="330"/>
      <c r="F44" s="330"/>
      <c r="G44" s="330"/>
      <c r="H44" s="332"/>
      <c r="I44" s="352"/>
      <c r="J44" s="330"/>
      <c r="K44" s="330"/>
      <c r="L44" s="335"/>
      <c r="M44" s="332"/>
      <c r="N44" s="336"/>
      <c r="O44" s="353"/>
      <c r="P44" s="353"/>
      <c r="Q44" s="353"/>
    </row>
    <row r="45" spans="1:17" ht="12.75">
      <c r="A45" s="281">
        <f>ROW()</f>
        <v>45</v>
      </c>
      <c r="B45" s="283"/>
      <c r="C45" s="341"/>
      <c r="D45" s="318"/>
      <c r="E45" s="318"/>
      <c r="F45" s="318"/>
      <c r="G45" s="318"/>
      <c r="H45" s="320"/>
      <c r="I45" s="342"/>
      <c r="J45" s="318"/>
      <c r="K45" s="318"/>
      <c r="L45" s="343"/>
      <c r="M45" s="320"/>
      <c r="N45" s="291"/>
      <c r="O45" s="354"/>
      <c r="P45" s="354"/>
      <c r="Q45" s="354"/>
    </row>
    <row r="46" spans="1:17" ht="12.75">
      <c r="A46" s="271">
        <f>ROW()</f>
        <v>46</v>
      </c>
      <c r="B46" s="293" t="s">
        <v>59</v>
      </c>
      <c r="C46" s="297"/>
      <c r="D46" s="299"/>
      <c r="E46" s="299"/>
      <c r="F46" s="299"/>
      <c r="G46" s="299"/>
      <c r="H46" s="300"/>
      <c r="I46" s="345" t="s">
        <v>321</v>
      </c>
      <c r="J46" s="299"/>
      <c r="K46" s="299"/>
      <c r="L46" s="340"/>
      <c r="M46" s="300"/>
      <c r="N46" s="279"/>
      <c r="O46" s="308"/>
      <c r="P46" s="308"/>
      <c r="Q46" s="309"/>
    </row>
    <row r="47" spans="1:17" ht="12.75" hidden="1">
      <c r="A47" s="271">
        <f>ROW()</f>
        <v>47</v>
      </c>
      <c r="B47" s="271" t="s">
        <v>299</v>
      </c>
      <c r="C47" s="297"/>
      <c r="D47" s="346"/>
      <c r="E47" s="355"/>
      <c r="F47" s="355"/>
      <c r="G47" s="299">
        <f>54662518+43</f>
        <v>54662561</v>
      </c>
      <c r="H47" s="300"/>
      <c r="I47" s="306"/>
      <c r="J47" s="299"/>
      <c r="K47" s="299"/>
      <c r="L47" s="340"/>
      <c r="M47" s="300"/>
      <c r="N47" s="279"/>
      <c r="O47" s="346"/>
      <c r="P47" s="346"/>
      <c r="Q47" s="259"/>
    </row>
    <row r="48" spans="1:17" ht="12.75" hidden="1">
      <c r="A48" s="271">
        <f>ROW()</f>
        <v>48</v>
      </c>
      <c r="B48" s="305" t="s">
        <v>303</v>
      </c>
      <c r="C48" s="297" t="s">
        <v>300</v>
      </c>
      <c r="D48" s="299">
        <v>0</v>
      </c>
      <c r="E48" s="299">
        <v>-3526620</v>
      </c>
      <c r="F48" s="299"/>
      <c r="G48" s="299">
        <f>G47+E48</f>
        <v>51135941</v>
      </c>
      <c r="H48" s="300"/>
      <c r="I48" s="306"/>
      <c r="J48" s="299"/>
      <c r="K48" s="299"/>
      <c r="L48" s="340"/>
      <c r="M48" s="300"/>
      <c r="N48" s="304"/>
      <c r="O48" s="308"/>
      <c r="P48" s="308"/>
      <c r="Q48" s="309"/>
    </row>
    <row r="49" spans="1:17" ht="12.75" hidden="1">
      <c r="A49" s="271">
        <f>ROW()</f>
        <v>49</v>
      </c>
      <c r="B49" s="305" t="s">
        <v>304</v>
      </c>
      <c r="C49" s="297" t="s">
        <v>300</v>
      </c>
      <c r="D49" s="299">
        <v>0</v>
      </c>
      <c r="E49" s="299">
        <v>-3526620</v>
      </c>
      <c r="F49" s="299"/>
      <c r="G49" s="299">
        <f>G48+E49</f>
        <v>47609321</v>
      </c>
      <c r="H49" s="300"/>
      <c r="I49" s="306"/>
      <c r="J49" s="299"/>
      <c r="K49" s="299"/>
      <c r="L49" s="340"/>
      <c r="M49" s="300"/>
      <c r="N49" s="279"/>
      <c r="O49" s="346"/>
      <c r="P49" s="346"/>
      <c r="Q49" s="309"/>
    </row>
    <row r="50" spans="1:17" ht="12.75" hidden="1">
      <c r="A50" s="271">
        <f>ROW()</f>
        <v>50</v>
      </c>
      <c r="B50" s="305" t="s">
        <v>305</v>
      </c>
      <c r="C50" s="297" t="s">
        <v>300</v>
      </c>
      <c r="D50" s="299">
        <v>0</v>
      </c>
      <c r="E50" s="299">
        <v>-3526620</v>
      </c>
      <c r="F50" s="299"/>
      <c r="G50" s="299">
        <f>G49+SUM(D50:F50)</f>
        <v>44082701</v>
      </c>
      <c r="H50" s="300"/>
      <c r="I50" s="306"/>
      <c r="J50" s="299"/>
      <c r="K50" s="299"/>
      <c r="L50" s="340"/>
      <c r="M50" s="300"/>
      <c r="N50" s="304"/>
      <c r="O50" s="308"/>
      <c r="P50" s="308"/>
      <c r="Q50" s="309"/>
    </row>
    <row r="51" spans="1:17" ht="12.75" hidden="1">
      <c r="A51" s="271">
        <f>ROW()</f>
        <v>51</v>
      </c>
      <c r="B51" s="305" t="s">
        <v>306</v>
      </c>
      <c r="C51" s="297" t="s">
        <v>300</v>
      </c>
      <c r="D51" s="299">
        <v>0</v>
      </c>
      <c r="E51" s="299">
        <v>-3526620</v>
      </c>
      <c r="F51" s="299"/>
      <c r="G51" s="299">
        <f>G50+SUM(D51:F51)</f>
        <v>40556081</v>
      </c>
      <c r="H51" s="300"/>
      <c r="I51" s="306">
        <v>-3526620</v>
      </c>
      <c r="J51" s="311">
        <f>F50/12*6+F51/12*6</f>
        <v>0</v>
      </c>
      <c r="K51" s="311">
        <v>44082701.00999999</v>
      </c>
      <c r="L51" s="340">
        <v>38533</v>
      </c>
      <c r="M51" s="300"/>
      <c r="N51" s="314" t="str">
        <f>N35</f>
        <v>7.3%&amp;7.01%</v>
      </c>
      <c r="O51" s="315">
        <v>3176357.885733969</v>
      </c>
      <c r="P51" s="315">
        <f aca="true" t="shared" si="6" ref="P51:P65">+O51/(1-0.35)</f>
        <v>4886704.439590721</v>
      </c>
      <c r="Q51" s="308">
        <f aca="true" t="shared" si="7" ref="Q51:Q65">P51/12</f>
        <v>407225.36996589345</v>
      </c>
    </row>
    <row r="52" spans="1:17" ht="12.75" hidden="1">
      <c r="A52" s="271">
        <f>ROW()</f>
        <v>52</v>
      </c>
      <c r="B52" s="316" t="s">
        <v>308</v>
      </c>
      <c r="C52" s="317" t="s">
        <v>300</v>
      </c>
      <c r="D52" s="318">
        <v>0</v>
      </c>
      <c r="E52" s="319">
        <v>-3526620</v>
      </c>
      <c r="F52" s="318"/>
      <c r="G52" s="319">
        <f>G51+E52</f>
        <v>37029461</v>
      </c>
      <c r="H52" s="320"/>
      <c r="I52" s="321">
        <v>-3526620</v>
      </c>
      <c r="J52" s="322"/>
      <c r="K52" s="318">
        <v>40556081.00999999</v>
      </c>
      <c r="L52" s="323">
        <v>38898</v>
      </c>
      <c r="M52" s="324"/>
      <c r="N52" s="325">
        <f>$N$19</f>
        <v>0.07010000000000001</v>
      </c>
      <c r="O52" s="326">
        <f>K52*N52</f>
        <v>2842981.2788009997</v>
      </c>
      <c r="P52" s="326">
        <f t="shared" si="6"/>
        <v>4373817.352001538</v>
      </c>
      <c r="Q52" s="327">
        <f t="shared" si="7"/>
        <v>364484.7793334615</v>
      </c>
    </row>
    <row r="53" spans="1:17" ht="12.75" hidden="1">
      <c r="A53" s="271">
        <f>ROW()</f>
        <v>53</v>
      </c>
      <c r="B53" s="328"/>
      <c r="C53" s="329"/>
      <c r="D53" s="330"/>
      <c r="E53" s="331"/>
      <c r="F53" s="330"/>
      <c r="G53" s="331"/>
      <c r="H53" s="332"/>
      <c r="I53" s="333">
        <v>-1763310</v>
      </c>
      <c r="J53" s="334"/>
      <c r="K53" s="330">
        <v>37911116.00999999</v>
      </c>
      <c r="L53" s="335">
        <v>39082</v>
      </c>
      <c r="M53" s="332"/>
      <c r="N53" s="336">
        <f>$N$19</f>
        <v>0.07010000000000001</v>
      </c>
      <c r="O53" s="337">
        <f>K53*N53</f>
        <v>2657569.2323009996</v>
      </c>
      <c r="P53" s="337">
        <f t="shared" si="6"/>
        <v>4088568.049693845</v>
      </c>
      <c r="Q53" s="338">
        <f t="shared" si="7"/>
        <v>340714.00414115377</v>
      </c>
    </row>
    <row r="54" spans="1:17" ht="12.75" hidden="1">
      <c r="A54" s="271">
        <f>ROW()</f>
        <v>54</v>
      </c>
      <c r="B54" s="305" t="s">
        <v>309</v>
      </c>
      <c r="C54" s="297" t="s">
        <v>300</v>
      </c>
      <c r="D54" s="299">
        <v>0</v>
      </c>
      <c r="E54" s="299">
        <v>-3526620</v>
      </c>
      <c r="F54" s="356">
        <v>1128000</v>
      </c>
      <c r="G54" s="299">
        <v>22808103.00999999</v>
      </c>
      <c r="H54" s="300"/>
      <c r="I54" s="306">
        <f aca="true" t="shared" si="8" ref="I54:I65">+E54</f>
        <v>-3526620</v>
      </c>
      <c r="J54" s="299"/>
      <c r="K54" s="311">
        <v>24500027.093333323</v>
      </c>
      <c r="L54" s="340">
        <v>39447</v>
      </c>
      <c r="M54" s="300"/>
      <c r="N54" s="314" t="s">
        <v>310</v>
      </c>
      <c r="O54" s="315">
        <v>1729299.1726179358</v>
      </c>
      <c r="P54" s="315">
        <f t="shared" si="6"/>
        <v>2660460.265566055</v>
      </c>
      <c r="Q54" s="308">
        <f t="shared" si="7"/>
        <v>221705.0221305046</v>
      </c>
    </row>
    <row r="55" spans="1:17" ht="12.75">
      <c r="A55" s="271">
        <f>ROW()</f>
        <v>55</v>
      </c>
      <c r="B55" s="305" t="s">
        <v>311</v>
      </c>
      <c r="C55" s="297" t="s">
        <v>300</v>
      </c>
      <c r="D55" s="299">
        <v>0</v>
      </c>
      <c r="E55" s="299">
        <v>-3526620</v>
      </c>
      <c r="F55" s="356">
        <v>1128000</v>
      </c>
      <c r="G55" s="299">
        <v>20409483.00999999</v>
      </c>
      <c r="H55" s="300"/>
      <c r="I55" s="306">
        <f t="shared" si="8"/>
        <v>-3526620</v>
      </c>
      <c r="J55" s="299"/>
      <c r="K55" s="311">
        <v>21608793.00999999</v>
      </c>
      <c r="L55" s="340">
        <v>39813</v>
      </c>
      <c r="M55" s="300"/>
      <c r="N55" s="314" t="str">
        <f>$N$22</f>
        <v>7.06%&amp;7.00%</v>
      </c>
      <c r="O55" s="315">
        <v>1523419.907204999</v>
      </c>
      <c r="P55" s="315">
        <f t="shared" si="6"/>
        <v>2343722.934161537</v>
      </c>
      <c r="Q55" s="308">
        <f t="shared" si="7"/>
        <v>195310.2445134614</v>
      </c>
    </row>
    <row r="56" spans="1:17" ht="12.75" hidden="1">
      <c r="A56" s="271">
        <f>ROW()</f>
        <v>56</v>
      </c>
      <c r="B56" s="305" t="s">
        <v>313</v>
      </c>
      <c r="C56" s="297" t="s">
        <v>300</v>
      </c>
      <c r="D56" s="299">
        <v>0</v>
      </c>
      <c r="E56" s="299">
        <v>-3526620</v>
      </c>
      <c r="F56" s="356">
        <v>1128000</v>
      </c>
      <c r="G56" s="299">
        <v>18010863.00999999</v>
      </c>
      <c r="H56" s="300"/>
      <c r="I56" s="306">
        <f t="shared" si="8"/>
        <v>-3526620</v>
      </c>
      <c r="J56" s="299"/>
      <c r="K56" s="311">
        <v>19210173.00999999</v>
      </c>
      <c r="L56" s="340">
        <v>40178</v>
      </c>
      <c r="M56" s="300"/>
      <c r="N56" s="304">
        <f aca="true" t="shared" si="9" ref="N56:N65">$N$23</f>
        <v>0.07</v>
      </c>
      <c r="O56" s="315">
        <f aca="true" t="shared" si="10" ref="O56:O65">K56*N56</f>
        <v>1344712.1106999994</v>
      </c>
      <c r="P56" s="315">
        <f t="shared" si="6"/>
        <v>2068787.8626153837</v>
      </c>
      <c r="Q56" s="308">
        <f t="shared" si="7"/>
        <v>172398.98855128197</v>
      </c>
    </row>
    <row r="57" spans="1:17" ht="12.75" hidden="1">
      <c r="A57" s="271">
        <f>ROW()</f>
        <v>57</v>
      </c>
      <c r="B57" s="305" t="s">
        <v>318</v>
      </c>
      <c r="C57" s="297" t="s">
        <v>300</v>
      </c>
      <c r="D57" s="299">
        <v>0</v>
      </c>
      <c r="E57" s="299">
        <v>-3526620</v>
      </c>
      <c r="F57" s="356">
        <v>1128000</v>
      </c>
      <c r="G57" s="299">
        <v>15612243.00999999</v>
      </c>
      <c r="H57" s="300"/>
      <c r="I57" s="306">
        <f t="shared" si="8"/>
        <v>-3526620</v>
      </c>
      <c r="J57" s="299"/>
      <c r="K57" s="311">
        <v>16811553.00999999</v>
      </c>
      <c r="L57" s="340">
        <v>40543</v>
      </c>
      <c r="M57" s="300"/>
      <c r="N57" s="304">
        <f t="shared" si="9"/>
        <v>0.07</v>
      </c>
      <c r="O57" s="315">
        <f t="shared" si="10"/>
        <v>1176808.7106999995</v>
      </c>
      <c r="P57" s="315">
        <f t="shared" si="6"/>
        <v>1810474.9395384607</v>
      </c>
      <c r="Q57" s="308">
        <f t="shared" si="7"/>
        <v>150872.91162820507</v>
      </c>
    </row>
    <row r="58" spans="1:17" ht="12.75" hidden="1">
      <c r="A58" s="271">
        <f>ROW()</f>
        <v>58</v>
      </c>
      <c r="B58" s="305" t="s">
        <v>319</v>
      </c>
      <c r="C58" s="297" t="s">
        <v>300</v>
      </c>
      <c r="D58" s="299">
        <v>0</v>
      </c>
      <c r="E58" s="299">
        <v>-3526620</v>
      </c>
      <c r="F58" s="356">
        <v>1128000</v>
      </c>
      <c r="G58" s="299">
        <v>13213623.00999999</v>
      </c>
      <c r="H58" s="300"/>
      <c r="I58" s="306">
        <f t="shared" si="8"/>
        <v>-3526620</v>
      </c>
      <c r="J58" s="299"/>
      <c r="K58" s="311">
        <v>14412933.00999999</v>
      </c>
      <c r="L58" s="340">
        <v>40908</v>
      </c>
      <c r="M58" s="300"/>
      <c r="N58" s="304">
        <f t="shared" si="9"/>
        <v>0.07</v>
      </c>
      <c r="O58" s="315">
        <f t="shared" si="10"/>
        <v>1008905.3106999994</v>
      </c>
      <c r="P58" s="315">
        <f t="shared" si="6"/>
        <v>1552162.0164615375</v>
      </c>
      <c r="Q58" s="308">
        <f t="shared" si="7"/>
        <v>129346.83470512812</v>
      </c>
    </row>
    <row r="59" spans="1:17" ht="12.75" hidden="1">
      <c r="A59" s="271">
        <f>ROW()</f>
        <v>59</v>
      </c>
      <c r="B59" s="305" t="s">
        <v>320</v>
      </c>
      <c r="C59" s="297" t="s">
        <v>300</v>
      </c>
      <c r="D59" s="299">
        <v>0</v>
      </c>
      <c r="E59" s="299">
        <v>-3526620</v>
      </c>
      <c r="F59" s="356">
        <v>1128000</v>
      </c>
      <c r="G59" s="299">
        <v>10815003.00999999</v>
      </c>
      <c r="H59" s="300"/>
      <c r="I59" s="306">
        <f t="shared" si="8"/>
        <v>-3526620</v>
      </c>
      <c r="J59" s="299"/>
      <c r="K59" s="311">
        <v>12014313.00999999</v>
      </c>
      <c r="L59" s="340">
        <v>41274</v>
      </c>
      <c r="M59" s="300"/>
      <c r="N59" s="304">
        <f t="shared" si="9"/>
        <v>0.07</v>
      </c>
      <c r="O59" s="315">
        <f t="shared" si="10"/>
        <v>841001.9106999994</v>
      </c>
      <c r="P59" s="315">
        <f t="shared" si="6"/>
        <v>1293849.0933846144</v>
      </c>
      <c r="Q59" s="308">
        <f t="shared" si="7"/>
        <v>107820.75778205121</v>
      </c>
    </row>
    <row r="60" spans="1:17" ht="12.75" hidden="1">
      <c r="A60" s="271">
        <f>ROW()</f>
        <v>60</v>
      </c>
      <c r="B60" s="305" t="s">
        <v>322</v>
      </c>
      <c r="C60" s="297" t="s">
        <v>300</v>
      </c>
      <c r="D60" s="299">
        <v>0</v>
      </c>
      <c r="E60" s="299">
        <v>-3526620</v>
      </c>
      <c r="F60" s="356">
        <v>1128000</v>
      </c>
      <c r="G60" s="299">
        <v>8416383.00999999</v>
      </c>
      <c r="H60" s="300"/>
      <c r="I60" s="306">
        <f t="shared" si="8"/>
        <v>-3526620</v>
      </c>
      <c r="J60" s="299"/>
      <c r="K60" s="311">
        <v>9615693.00999999</v>
      </c>
      <c r="L60" s="340">
        <v>41639</v>
      </c>
      <c r="M60" s="300"/>
      <c r="N60" s="304">
        <f t="shared" si="9"/>
        <v>0.07</v>
      </c>
      <c r="O60" s="315">
        <f t="shared" si="10"/>
        <v>673098.5106999994</v>
      </c>
      <c r="P60" s="315">
        <f t="shared" si="6"/>
        <v>1035536.1703076913</v>
      </c>
      <c r="Q60" s="308">
        <f t="shared" si="7"/>
        <v>86294.68085897427</v>
      </c>
    </row>
    <row r="61" spans="1:17" ht="12.75" hidden="1">
      <c r="A61" s="271">
        <f>ROW()</f>
        <v>61</v>
      </c>
      <c r="B61" s="305" t="s">
        <v>323</v>
      </c>
      <c r="C61" s="297" t="s">
        <v>300</v>
      </c>
      <c r="D61" s="299">
        <v>0</v>
      </c>
      <c r="E61" s="299">
        <v>-3526620</v>
      </c>
      <c r="F61" s="356">
        <v>1128000</v>
      </c>
      <c r="G61" s="299">
        <v>6017763.00999999</v>
      </c>
      <c r="H61" s="300"/>
      <c r="I61" s="306">
        <f t="shared" si="8"/>
        <v>-3526620</v>
      </c>
      <c r="J61" s="299"/>
      <c r="K61" s="311">
        <v>7217073.00999999</v>
      </c>
      <c r="L61" s="340">
        <v>42004</v>
      </c>
      <c r="M61" s="300"/>
      <c r="N61" s="304">
        <f t="shared" si="9"/>
        <v>0.07</v>
      </c>
      <c r="O61" s="315">
        <f t="shared" si="10"/>
        <v>505195.1106999994</v>
      </c>
      <c r="P61" s="315">
        <f t="shared" si="6"/>
        <v>777223.2472307682</v>
      </c>
      <c r="Q61" s="308">
        <f t="shared" si="7"/>
        <v>64768.60393589735</v>
      </c>
    </row>
    <row r="62" spans="1:17" ht="12.75" hidden="1">
      <c r="A62" s="271">
        <f>ROW()</f>
        <v>62</v>
      </c>
      <c r="B62" s="305" t="s">
        <v>324</v>
      </c>
      <c r="C62" s="297" t="s">
        <v>300</v>
      </c>
      <c r="D62" s="299">
        <v>0</v>
      </c>
      <c r="E62" s="299">
        <v>-3526620</v>
      </c>
      <c r="F62" s="356">
        <v>1128000</v>
      </c>
      <c r="G62" s="299">
        <v>3619143.0099999905</v>
      </c>
      <c r="H62" s="300"/>
      <c r="I62" s="306">
        <f t="shared" si="8"/>
        <v>-3526620</v>
      </c>
      <c r="J62" s="299"/>
      <c r="K62" s="311">
        <v>4818453.00999999</v>
      </c>
      <c r="L62" s="340">
        <v>42369</v>
      </c>
      <c r="M62" s="300"/>
      <c r="N62" s="304">
        <f t="shared" si="9"/>
        <v>0.07</v>
      </c>
      <c r="O62" s="315">
        <f t="shared" si="10"/>
        <v>337291.71069999936</v>
      </c>
      <c r="P62" s="315">
        <f t="shared" si="6"/>
        <v>518910.32415384514</v>
      </c>
      <c r="Q62" s="308">
        <f t="shared" si="7"/>
        <v>43242.52701282043</v>
      </c>
    </row>
    <row r="63" spans="1:17" ht="12.75" hidden="1">
      <c r="A63" s="271">
        <f>ROW()</f>
        <v>63</v>
      </c>
      <c r="B63" s="305" t="s">
        <v>325</v>
      </c>
      <c r="C63" s="297" t="s">
        <v>300</v>
      </c>
      <c r="D63" s="299">
        <v>0</v>
      </c>
      <c r="E63" s="299">
        <v>-3526620</v>
      </c>
      <c r="F63" s="356">
        <v>1128000</v>
      </c>
      <c r="G63" s="299">
        <v>1220523.0099999905</v>
      </c>
      <c r="H63" s="300"/>
      <c r="I63" s="306">
        <f t="shared" si="8"/>
        <v>-3526620</v>
      </c>
      <c r="J63" s="299"/>
      <c r="K63" s="311">
        <v>2419833.0099999905</v>
      </c>
      <c r="L63" s="340">
        <v>42735</v>
      </c>
      <c r="M63" s="300"/>
      <c r="N63" s="304">
        <f t="shared" si="9"/>
        <v>0.07</v>
      </c>
      <c r="O63" s="315">
        <f t="shared" si="10"/>
        <v>169388.31069999936</v>
      </c>
      <c r="P63" s="315">
        <f t="shared" si="6"/>
        <v>260597.40107692208</v>
      </c>
      <c r="Q63" s="308">
        <f t="shared" si="7"/>
        <v>21716.450089743506</v>
      </c>
    </row>
    <row r="64" spans="1:17" ht="12.75" hidden="1">
      <c r="A64" s="271">
        <f>ROW()</f>
        <v>64</v>
      </c>
      <c r="B64" s="305" t="s">
        <v>326</v>
      </c>
      <c r="C64" s="297" t="s">
        <v>300</v>
      </c>
      <c r="D64" s="299">
        <v>0</v>
      </c>
      <c r="E64" s="299">
        <v>-1763261</v>
      </c>
      <c r="F64" s="356">
        <v>542738</v>
      </c>
      <c r="G64" s="299">
        <v>0.009999990463256836</v>
      </c>
      <c r="H64" s="300"/>
      <c r="I64" s="306">
        <f t="shared" si="8"/>
        <v>-1763261</v>
      </c>
      <c r="J64" s="299"/>
      <c r="K64" s="311">
        <v>309550.13499999046</v>
      </c>
      <c r="L64" s="340">
        <v>43100</v>
      </c>
      <c r="M64" s="300"/>
      <c r="N64" s="304">
        <f t="shared" si="9"/>
        <v>0.07</v>
      </c>
      <c r="O64" s="315">
        <f t="shared" si="10"/>
        <v>21668.509449999336</v>
      </c>
      <c r="P64" s="315">
        <f t="shared" si="6"/>
        <v>33336.168384614364</v>
      </c>
      <c r="Q64" s="308">
        <f t="shared" si="7"/>
        <v>2778.014032051197</v>
      </c>
    </row>
    <row r="65" spans="1:17" ht="12.75" hidden="1">
      <c r="A65" s="271">
        <f>ROW()</f>
        <v>65</v>
      </c>
      <c r="B65" s="305" t="s">
        <v>327</v>
      </c>
      <c r="C65" s="297" t="s">
        <v>300</v>
      </c>
      <c r="D65" s="299">
        <v>0</v>
      </c>
      <c r="E65" s="299">
        <v>0</v>
      </c>
      <c r="F65" s="356">
        <v>0</v>
      </c>
      <c r="G65" s="299">
        <v>0.009999990463256836</v>
      </c>
      <c r="H65" s="300"/>
      <c r="I65" s="306">
        <f t="shared" si="8"/>
        <v>0</v>
      </c>
      <c r="J65" s="299"/>
      <c r="K65" s="311">
        <v>0.009999990463256836</v>
      </c>
      <c r="L65" s="340">
        <v>43465</v>
      </c>
      <c r="M65" s="300"/>
      <c r="N65" s="304">
        <f t="shared" si="9"/>
        <v>0.07</v>
      </c>
      <c r="O65" s="315">
        <f t="shared" si="10"/>
        <v>0.0006999993324279786</v>
      </c>
      <c r="P65" s="315">
        <f t="shared" si="6"/>
        <v>0.0010769220498891977</v>
      </c>
      <c r="Q65" s="308">
        <f t="shared" si="7"/>
        <v>8.974350415743314E-05</v>
      </c>
    </row>
    <row r="66" spans="1:17" ht="12.75" hidden="1">
      <c r="A66" s="271">
        <f>ROW()</f>
        <v>66</v>
      </c>
      <c r="B66" s="350"/>
      <c r="C66" s="351"/>
      <c r="D66" s="330"/>
      <c r="E66" s="330"/>
      <c r="F66" s="330"/>
      <c r="G66" s="330"/>
      <c r="H66" s="332"/>
      <c r="I66" s="352"/>
      <c r="J66" s="330"/>
      <c r="K66" s="357"/>
      <c r="L66" s="335"/>
      <c r="M66" s="332"/>
      <c r="N66" s="336"/>
      <c r="O66" s="337"/>
      <c r="P66" s="337"/>
      <c r="Q66" s="337"/>
    </row>
    <row r="67" spans="1:17" ht="12.75">
      <c r="A67" s="281">
        <f>ROW()</f>
        <v>67</v>
      </c>
      <c r="B67" s="358"/>
      <c r="C67" s="341"/>
      <c r="D67" s="318"/>
      <c r="E67" s="318"/>
      <c r="F67" s="318"/>
      <c r="G67" s="318"/>
      <c r="H67" s="320"/>
      <c r="I67" s="342"/>
      <c r="J67" s="318"/>
      <c r="K67" s="318"/>
      <c r="L67" s="343"/>
      <c r="M67" s="320"/>
      <c r="N67" s="325"/>
      <c r="O67" s="354"/>
      <c r="P67" s="354"/>
      <c r="Q67" s="354"/>
    </row>
    <row r="68" spans="1:17" ht="12.75">
      <c r="A68" s="271">
        <f>ROW()</f>
        <v>68</v>
      </c>
      <c r="B68" s="293" t="s">
        <v>328</v>
      </c>
      <c r="C68" s="297"/>
      <c r="D68" s="346"/>
      <c r="E68" s="299"/>
      <c r="F68" s="299"/>
      <c r="G68" s="299"/>
      <c r="H68" s="300"/>
      <c r="I68" s="345" t="s">
        <v>329</v>
      </c>
      <c r="J68" s="299"/>
      <c r="K68" s="299"/>
      <c r="L68" s="340"/>
      <c r="M68" s="359"/>
      <c r="N68" s="359"/>
      <c r="O68" s="308"/>
      <c r="P68" s="308"/>
      <c r="Q68" s="309"/>
    </row>
    <row r="69" spans="1:17" ht="12.75" hidden="1">
      <c r="A69" s="271">
        <f>ROW()</f>
        <v>69</v>
      </c>
      <c r="B69" s="271" t="s">
        <v>299</v>
      </c>
      <c r="C69" s="297" t="s">
        <v>300</v>
      </c>
      <c r="D69" s="299">
        <v>0</v>
      </c>
      <c r="E69" s="299"/>
      <c r="F69" s="299"/>
      <c r="G69" s="299">
        <v>20545452.37</v>
      </c>
      <c r="H69" s="300"/>
      <c r="I69" s="306"/>
      <c r="J69" s="299"/>
      <c r="K69" s="299"/>
      <c r="L69" s="340"/>
      <c r="M69" s="300"/>
      <c r="N69" s="279"/>
      <c r="O69" s="308"/>
      <c r="P69" s="308"/>
      <c r="Q69" s="309"/>
    </row>
    <row r="70" spans="1:17" ht="12.75" hidden="1">
      <c r="A70" s="271">
        <f>ROW()</f>
        <v>70</v>
      </c>
      <c r="B70" s="305" t="s">
        <v>305</v>
      </c>
      <c r="C70" s="297" t="s">
        <v>300</v>
      </c>
      <c r="D70" s="299"/>
      <c r="E70" s="299"/>
      <c r="F70" s="299"/>
      <c r="G70" s="299">
        <v>15194767.809999999</v>
      </c>
      <c r="H70" s="300"/>
      <c r="I70" s="306"/>
      <c r="J70" s="299"/>
      <c r="K70" s="299"/>
      <c r="L70" s="340"/>
      <c r="M70" s="300"/>
      <c r="N70" s="279"/>
      <c r="O70" s="308"/>
      <c r="P70" s="308"/>
      <c r="Q70" s="309"/>
    </row>
    <row r="71" spans="1:17" ht="12.75" hidden="1">
      <c r="A71" s="271">
        <f>ROW()</f>
        <v>71</v>
      </c>
      <c r="B71" s="305" t="s">
        <v>306</v>
      </c>
      <c r="C71" s="297" t="s">
        <v>300</v>
      </c>
      <c r="D71" s="299">
        <v>0</v>
      </c>
      <c r="E71" s="299"/>
      <c r="F71" s="299"/>
      <c r="G71" s="299">
        <v>17134558.470000003</v>
      </c>
      <c r="H71" s="300"/>
      <c r="I71" s="360">
        <f>E70/12*6+E71/12*6</f>
        <v>0</v>
      </c>
      <c r="J71" s="311">
        <f>F70/12*6+F71/12*6</f>
        <v>0</v>
      </c>
      <c r="K71" s="311">
        <v>15867232.399583332</v>
      </c>
      <c r="L71" s="340">
        <v>38533</v>
      </c>
      <c r="M71" s="300"/>
      <c r="N71" s="314" t="str">
        <f>N35</f>
        <v>7.3%&amp;7.01%</v>
      </c>
      <c r="O71" s="315">
        <v>362637.9889152994</v>
      </c>
      <c r="P71" s="315">
        <f aca="true" t="shared" si="11" ref="P71:P78">+O71/(1-0.35)</f>
        <v>557904.5983312299</v>
      </c>
      <c r="Q71" s="308">
        <f aca="true" t="shared" si="12" ref="Q71:Q78">P71/12</f>
        <v>46492.049860935826</v>
      </c>
    </row>
    <row r="72" spans="1:17" ht="12.75" hidden="1">
      <c r="A72" s="271">
        <f>ROW()</f>
        <v>72</v>
      </c>
      <c r="B72" s="316" t="s">
        <v>308</v>
      </c>
      <c r="C72" s="317" t="s">
        <v>300</v>
      </c>
      <c r="D72" s="318">
        <v>0</v>
      </c>
      <c r="E72" s="319"/>
      <c r="F72" s="318"/>
      <c r="G72" s="319">
        <v>21307240.720000003</v>
      </c>
      <c r="H72" s="320"/>
      <c r="I72" s="321">
        <f>E71/12*6+E72/12*6</f>
        <v>0</v>
      </c>
      <c r="J72" s="322"/>
      <c r="K72" s="318">
        <v>16727249.060416667</v>
      </c>
      <c r="L72" s="323">
        <v>38898</v>
      </c>
      <c r="M72" s="324"/>
      <c r="N72" s="325">
        <f>$N$19</f>
        <v>0.07010000000000001</v>
      </c>
      <c r="O72" s="326">
        <f>K72*N72</f>
        <v>1172580.1591352085</v>
      </c>
      <c r="P72" s="326">
        <f t="shared" si="11"/>
        <v>1803969.4755926284</v>
      </c>
      <c r="Q72" s="327">
        <f t="shared" si="12"/>
        <v>150330.78963271904</v>
      </c>
    </row>
    <row r="73" spans="1:17" ht="12.75" hidden="1">
      <c r="A73" s="271">
        <f>ROW()</f>
        <v>73</v>
      </c>
      <c r="B73" s="328"/>
      <c r="C73" s="329"/>
      <c r="D73" s="330"/>
      <c r="E73" s="331"/>
      <c r="F73" s="330"/>
      <c r="G73" s="331"/>
      <c r="H73" s="332"/>
      <c r="I73" s="333">
        <v>0</v>
      </c>
      <c r="J73" s="334"/>
      <c r="K73" s="330">
        <v>19952478.540833335</v>
      </c>
      <c r="L73" s="335">
        <v>39082</v>
      </c>
      <c r="M73" s="332"/>
      <c r="N73" s="336">
        <f>$N$19</f>
        <v>0.07010000000000001</v>
      </c>
      <c r="O73" s="337">
        <f>K73*N73</f>
        <v>1398668.745712417</v>
      </c>
      <c r="P73" s="337">
        <f t="shared" si="11"/>
        <v>2151798.0703267953</v>
      </c>
      <c r="Q73" s="338">
        <f t="shared" si="12"/>
        <v>179316.50586056628</v>
      </c>
    </row>
    <row r="74" spans="1:17" ht="12.75" hidden="1">
      <c r="A74" s="271">
        <f>ROW()</f>
        <v>74</v>
      </c>
      <c r="B74" s="305" t="s">
        <v>309</v>
      </c>
      <c r="C74" s="297" t="s">
        <v>300</v>
      </c>
      <c r="D74" s="299">
        <v>0</v>
      </c>
      <c r="E74" s="299"/>
      <c r="F74" s="299"/>
      <c r="G74" s="319">
        <v>23801058.669999998</v>
      </c>
      <c r="H74" s="300"/>
      <c r="I74" s="360">
        <f>E72/12*6+E74/12*6</f>
        <v>0</v>
      </c>
      <c r="J74" s="299"/>
      <c r="K74" s="311">
        <v>23235098.006249998</v>
      </c>
      <c r="L74" s="340">
        <v>39447</v>
      </c>
      <c r="M74" s="300"/>
      <c r="N74" s="314" t="s">
        <v>310</v>
      </c>
      <c r="O74" s="315">
        <v>1640015.972424709</v>
      </c>
      <c r="P74" s="315">
        <f t="shared" si="11"/>
        <v>2523101.4960380136</v>
      </c>
      <c r="Q74" s="308">
        <f t="shared" si="12"/>
        <v>210258.4580031678</v>
      </c>
    </row>
    <row r="75" spans="1:17" ht="12.75">
      <c r="A75" s="271">
        <f>ROW()</f>
        <v>75</v>
      </c>
      <c r="B75" s="305" t="s">
        <v>311</v>
      </c>
      <c r="C75" s="297" t="s">
        <v>300</v>
      </c>
      <c r="D75" s="299">
        <v>0</v>
      </c>
      <c r="E75" s="299"/>
      <c r="F75" s="299"/>
      <c r="G75" s="361">
        <v>19459946.74</v>
      </c>
      <c r="H75" s="300"/>
      <c r="I75" s="360">
        <f>E74/12*6+E75/12*6</f>
        <v>0</v>
      </c>
      <c r="J75" s="299"/>
      <c r="K75" s="311">
        <v>19914187.412916664</v>
      </c>
      <c r="L75" s="340">
        <v>39813</v>
      </c>
      <c r="M75" s="300"/>
      <c r="N75" s="314" t="str">
        <f>$N$22</f>
        <v>7.06%&amp;7.00%</v>
      </c>
      <c r="O75" s="315">
        <v>1403950.2126106247</v>
      </c>
      <c r="P75" s="315">
        <f t="shared" si="11"/>
        <v>2159923.4040163457</v>
      </c>
      <c r="Q75" s="308">
        <f t="shared" si="12"/>
        <v>179993.61700136214</v>
      </c>
    </row>
    <row r="76" spans="1:17" ht="12.75" hidden="1">
      <c r="A76" s="271">
        <f>ROW()</f>
        <v>76</v>
      </c>
      <c r="B76" s="305" t="s">
        <v>313</v>
      </c>
      <c r="C76" s="297" t="s">
        <v>300</v>
      </c>
      <c r="D76" s="299">
        <v>0</v>
      </c>
      <c r="E76" s="299"/>
      <c r="F76" s="299"/>
      <c r="G76" s="361">
        <v>19459946.74</v>
      </c>
      <c r="H76" s="300"/>
      <c r="I76" s="360">
        <f>E75/12*6+E76/12*6</f>
        <v>0</v>
      </c>
      <c r="J76" s="299"/>
      <c r="K76" s="311">
        <v>19459946.740000002</v>
      </c>
      <c r="L76" s="340">
        <v>40178</v>
      </c>
      <c r="M76" s="300"/>
      <c r="N76" s="304">
        <f>$N$23</f>
        <v>0.07</v>
      </c>
      <c r="O76" s="315">
        <f>K76*N76</f>
        <v>1362196.2718000002</v>
      </c>
      <c r="P76" s="315">
        <f t="shared" si="11"/>
        <v>2095686.5720000002</v>
      </c>
      <c r="Q76" s="308">
        <f t="shared" si="12"/>
        <v>174640.54766666668</v>
      </c>
    </row>
    <row r="77" spans="1:17" ht="12.75" hidden="1">
      <c r="A77" s="271">
        <f>ROW()</f>
        <v>77</v>
      </c>
      <c r="B77" s="305" t="s">
        <v>318</v>
      </c>
      <c r="C77" s="297" t="s">
        <v>300</v>
      </c>
      <c r="D77" s="299">
        <v>0</v>
      </c>
      <c r="E77" s="299"/>
      <c r="F77" s="299"/>
      <c r="G77" s="361">
        <v>19459946.74</v>
      </c>
      <c r="H77" s="300"/>
      <c r="I77" s="360">
        <f>E76/12*6+E77/12*6</f>
        <v>0</v>
      </c>
      <c r="J77" s="299"/>
      <c r="K77" s="311">
        <v>19459946.740000002</v>
      </c>
      <c r="L77" s="312">
        <v>40543</v>
      </c>
      <c r="M77" s="300"/>
      <c r="N77" s="304">
        <f>$N$23</f>
        <v>0.07</v>
      </c>
      <c r="O77" s="315">
        <f>K77*N77</f>
        <v>1362196.2718000002</v>
      </c>
      <c r="P77" s="315">
        <f t="shared" si="11"/>
        <v>2095686.5720000002</v>
      </c>
      <c r="Q77" s="308">
        <f t="shared" si="12"/>
        <v>174640.54766666668</v>
      </c>
    </row>
    <row r="78" spans="1:17" ht="12.75" hidden="1">
      <c r="A78" s="271">
        <f>ROW()</f>
        <v>78</v>
      </c>
      <c r="B78" s="305" t="s">
        <v>319</v>
      </c>
      <c r="C78" s="297" t="s">
        <v>300</v>
      </c>
      <c r="D78" s="299">
        <v>0</v>
      </c>
      <c r="E78" s="299"/>
      <c r="F78" s="299"/>
      <c r="G78" s="361">
        <v>19459946.74</v>
      </c>
      <c r="H78" s="300"/>
      <c r="I78" s="360">
        <f>E77/12*6+E78/12*6</f>
        <v>0</v>
      </c>
      <c r="J78" s="299"/>
      <c r="K78" s="311">
        <v>19459946.740000002</v>
      </c>
      <c r="L78" s="340">
        <v>40908</v>
      </c>
      <c r="M78" s="300"/>
      <c r="N78" s="304">
        <f>$N$23</f>
        <v>0.07</v>
      </c>
      <c r="O78" s="315">
        <f>K78*N78</f>
        <v>1362196.2718000002</v>
      </c>
      <c r="P78" s="315">
        <f t="shared" si="11"/>
        <v>2095686.5720000002</v>
      </c>
      <c r="Q78" s="308">
        <f t="shared" si="12"/>
        <v>174640.54766666668</v>
      </c>
    </row>
    <row r="79" spans="1:17" ht="12.75" hidden="1">
      <c r="A79" s="349">
        <f>ROW()</f>
        <v>79</v>
      </c>
      <c r="B79" s="350"/>
      <c r="C79" s="351"/>
      <c r="D79" s="330"/>
      <c r="E79" s="330"/>
      <c r="F79" s="330"/>
      <c r="G79" s="330"/>
      <c r="H79" s="330"/>
      <c r="I79" s="352"/>
      <c r="J79" s="330"/>
      <c r="K79" s="330"/>
      <c r="L79" s="362"/>
      <c r="M79" s="332"/>
      <c r="N79" s="332"/>
      <c r="O79" s="353"/>
      <c r="P79" s="353"/>
      <c r="Q79" s="353"/>
    </row>
    <row r="80" spans="1:17" ht="12.75">
      <c r="A80" s="281">
        <f>ROW()</f>
        <v>80</v>
      </c>
      <c r="B80" s="283"/>
      <c r="C80" s="341"/>
      <c r="D80" s="318"/>
      <c r="E80" s="318"/>
      <c r="F80" s="318"/>
      <c r="G80" s="318"/>
      <c r="H80" s="320"/>
      <c r="I80" s="342"/>
      <c r="J80" s="318"/>
      <c r="K80" s="318"/>
      <c r="L80" s="343"/>
      <c r="M80" s="363"/>
      <c r="N80" s="363"/>
      <c r="O80" s="354"/>
      <c r="P80" s="354"/>
      <c r="Q80" s="354"/>
    </row>
    <row r="81" spans="1:17" ht="12.75">
      <c r="A81" s="271">
        <f>ROW()</f>
        <v>81</v>
      </c>
      <c r="B81" s="293" t="s">
        <v>330</v>
      </c>
      <c r="C81" s="297"/>
      <c r="D81" s="299"/>
      <c r="E81" s="299"/>
      <c r="F81" s="299"/>
      <c r="G81" s="299"/>
      <c r="H81" s="300"/>
      <c r="I81" s="345" t="s">
        <v>331</v>
      </c>
      <c r="J81" s="299"/>
      <c r="K81" s="299"/>
      <c r="L81" s="340"/>
      <c r="M81" s="359"/>
      <c r="N81" s="359"/>
      <c r="O81" s="308"/>
      <c r="P81" s="308"/>
      <c r="Q81" s="309"/>
    </row>
    <row r="82" spans="1:17" ht="12.75" hidden="1">
      <c r="A82" s="271">
        <f>ROW()</f>
        <v>82</v>
      </c>
      <c r="B82" s="305" t="s">
        <v>299</v>
      </c>
      <c r="C82" s="297" t="s">
        <v>300</v>
      </c>
      <c r="D82" s="299"/>
      <c r="E82" s="299"/>
      <c r="F82" s="299"/>
      <c r="G82" s="299">
        <v>43419577.22</v>
      </c>
      <c r="H82" s="300"/>
      <c r="I82" s="345"/>
      <c r="J82" s="299"/>
      <c r="K82" s="299"/>
      <c r="L82" s="303"/>
      <c r="M82" s="300"/>
      <c r="N82" s="300"/>
      <c r="O82" s="308"/>
      <c r="P82" s="308"/>
      <c r="Q82" s="309"/>
    </row>
    <row r="83" spans="1:17" ht="12.75" hidden="1">
      <c r="A83" s="271">
        <f>ROW()</f>
        <v>83</v>
      </c>
      <c r="B83" s="305" t="s">
        <v>305</v>
      </c>
      <c r="C83" s="297" t="s">
        <v>300</v>
      </c>
      <c r="D83" s="299">
        <v>0</v>
      </c>
      <c r="E83" s="299">
        <v>-1494701.7220709994</v>
      </c>
      <c r="F83" s="299">
        <v>-4346264.333333332</v>
      </c>
      <c r="G83" s="299">
        <v>42052182.327929</v>
      </c>
      <c r="H83" s="300"/>
      <c r="I83" s="306"/>
      <c r="J83" s="299"/>
      <c r="K83" s="299"/>
      <c r="L83" s="303"/>
      <c r="M83" s="300"/>
      <c r="N83" s="304"/>
      <c r="O83" s="308"/>
      <c r="P83" s="308"/>
      <c r="Q83" s="309"/>
    </row>
    <row r="84" spans="1:17" ht="12.75" hidden="1">
      <c r="A84" s="271">
        <f>ROW()</f>
        <v>84</v>
      </c>
      <c r="B84" s="305" t="s">
        <v>306</v>
      </c>
      <c r="C84" s="297" t="s">
        <v>300</v>
      </c>
      <c r="D84" s="299">
        <v>0</v>
      </c>
      <c r="E84" s="299">
        <v>-1494701.7220709994</v>
      </c>
      <c r="F84" s="299">
        <v>-51222281.20833332</v>
      </c>
      <c r="G84" s="299">
        <v>40832249.73585799</v>
      </c>
      <c r="H84" s="300"/>
      <c r="I84" s="306">
        <f>E83/12*6+E84/12*6</f>
        <v>-1494701.7220709994</v>
      </c>
      <c r="J84" s="311">
        <v>89385.4973118287</v>
      </c>
      <c r="K84" s="311">
        <v>42108376.58209566</v>
      </c>
      <c r="L84" s="340">
        <v>38533</v>
      </c>
      <c r="M84" s="300"/>
      <c r="N84" s="314" t="str">
        <f>N71</f>
        <v>7.3%&amp;7.01%</v>
      </c>
      <c r="O84" s="315">
        <v>3034098.8856752254</v>
      </c>
      <c r="P84" s="315">
        <f aca="true" t="shared" si="13" ref="P84:P91">+O84/(1-0.35)</f>
        <v>4667844.439500347</v>
      </c>
      <c r="Q84" s="308">
        <f aca="true" t="shared" si="14" ref="Q84:Q91">P84/12</f>
        <v>388987.0366250289</v>
      </c>
    </row>
    <row r="85" spans="1:17" ht="12.75" hidden="1">
      <c r="A85" s="271">
        <f>ROW()</f>
        <v>85</v>
      </c>
      <c r="B85" s="316" t="s">
        <v>308</v>
      </c>
      <c r="C85" s="317" t="s">
        <v>300</v>
      </c>
      <c r="D85" s="318">
        <v>0</v>
      </c>
      <c r="E85" s="319">
        <v>-1494702.4137327932</v>
      </c>
      <c r="F85" s="318">
        <v>-48530982.24999999</v>
      </c>
      <c r="G85" s="319">
        <v>39625899.6021252</v>
      </c>
      <c r="H85" s="320"/>
      <c r="I85" s="321">
        <f>E84/12*6+E85/12*6</f>
        <v>-1494702.0679018963</v>
      </c>
      <c r="J85" s="322">
        <v>91601.66666666605</v>
      </c>
      <c r="K85" s="318">
        <v>40832156.43440027</v>
      </c>
      <c r="L85" s="323">
        <v>38898</v>
      </c>
      <c r="M85" s="324"/>
      <c r="N85" s="325">
        <f>$N$19</f>
        <v>0.07010000000000001</v>
      </c>
      <c r="O85" s="326">
        <f>K85*N85</f>
        <v>2862334.166051459</v>
      </c>
      <c r="P85" s="326">
        <f t="shared" si="13"/>
        <v>4403591.024694553</v>
      </c>
      <c r="Q85" s="327">
        <f t="shared" si="14"/>
        <v>366965.91872454603</v>
      </c>
    </row>
    <row r="86" spans="1:17" ht="12.75" hidden="1">
      <c r="A86" s="271">
        <f>ROW()</f>
        <v>86</v>
      </c>
      <c r="B86" s="328"/>
      <c r="C86" s="329"/>
      <c r="D86" s="330"/>
      <c r="E86" s="331"/>
      <c r="F86" s="330"/>
      <c r="G86" s="331"/>
      <c r="H86" s="332"/>
      <c r="I86" s="333">
        <f>E85/12*6</f>
        <v>-747351.2068663966</v>
      </c>
      <c r="J86" s="334"/>
      <c r="K86" s="330">
        <v>39923951.53264295</v>
      </c>
      <c r="L86" s="335">
        <v>39082</v>
      </c>
      <c r="M86" s="332"/>
      <c r="N86" s="336">
        <f>$N$19</f>
        <v>0.07010000000000001</v>
      </c>
      <c r="O86" s="337">
        <f>K86*N86</f>
        <v>2798669.0024382714</v>
      </c>
      <c r="P86" s="337">
        <f t="shared" si="13"/>
        <v>4305644.619135802</v>
      </c>
      <c r="Q86" s="338">
        <f t="shared" si="14"/>
        <v>358803.7182613168</v>
      </c>
    </row>
    <row r="87" spans="1:17" ht="12.75" hidden="1">
      <c r="A87" s="271">
        <f>ROW()</f>
        <v>87</v>
      </c>
      <c r="B87" s="305" t="s">
        <v>309</v>
      </c>
      <c r="C87" s="297" t="s">
        <v>300</v>
      </c>
      <c r="D87" s="299">
        <v>0</v>
      </c>
      <c r="E87" s="299">
        <v>-1494701.7220710218</v>
      </c>
      <c r="F87" s="299">
        <v>-51588653.006944455</v>
      </c>
      <c r="G87" s="299">
        <v>36050026.880054176</v>
      </c>
      <c r="H87" s="300"/>
      <c r="I87" s="306">
        <f>E85/12*6+E87/12*6</f>
        <v>-1494702.0679019075</v>
      </c>
      <c r="J87" s="311"/>
      <c r="K87" s="311">
        <v>37628503.36608969</v>
      </c>
      <c r="L87" s="340">
        <v>39447</v>
      </c>
      <c r="M87" s="300"/>
      <c r="N87" s="314" t="s">
        <v>310</v>
      </c>
      <c r="O87" s="315">
        <v>2655953.786905668</v>
      </c>
      <c r="P87" s="315">
        <f t="shared" si="13"/>
        <v>4086082.7490856433</v>
      </c>
      <c r="Q87" s="308">
        <f t="shared" si="14"/>
        <v>340506.8957571369</v>
      </c>
    </row>
    <row r="88" spans="1:17" ht="12.75">
      <c r="A88" s="271">
        <f>ROW()</f>
        <v>88</v>
      </c>
      <c r="B88" s="305" t="s">
        <v>311</v>
      </c>
      <c r="C88" s="297" t="s">
        <v>300</v>
      </c>
      <c r="D88" s="299">
        <v>0</v>
      </c>
      <c r="E88" s="299">
        <v>-1494701.7220710218</v>
      </c>
      <c r="F88" s="299">
        <v>-68693862.90277779</v>
      </c>
      <c r="G88" s="299">
        <v>34112846.26798315</v>
      </c>
      <c r="H88" s="300"/>
      <c r="I88" s="306">
        <f>E87/12*6+E88/12*6</f>
        <v>-1494701.7220710218</v>
      </c>
      <c r="J88" s="299"/>
      <c r="K88" s="311">
        <v>35041392.49943533</v>
      </c>
      <c r="L88" s="340">
        <v>39813</v>
      </c>
      <c r="M88" s="300"/>
      <c r="N88" s="314" t="str">
        <f>$N$22</f>
        <v>7.06%&amp;7.00%</v>
      </c>
      <c r="O88" s="315">
        <v>2470418.1712101903</v>
      </c>
      <c r="P88" s="315">
        <f t="shared" si="13"/>
        <v>3800643.3403233695</v>
      </c>
      <c r="Q88" s="308">
        <f t="shared" si="14"/>
        <v>316720.2783602808</v>
      </c>
    </row>
    <row r="89" spans="1:17" ht="12.75" hidden="1">
      <c r="A89" s="271">
        <f>ROW()</f>
        <v>89</v>
      </c>
      <c r="B89" s="364" t="s">
        <v>313</v>
      </c>
      <c r="C89" s="297" t="s">
        <v>300</v>
      </c>
      <c r="D89" s="299">
        <v>0</v>
      </c>
      <c r="E89" s="299">
        <v>-1494701.7220710255</v>
      </c>
      <c r="F89" s="299">
        <v>-74603796.5486111</v>
      </c>
      <c r="G89" s="299">
        <v>32272999.54591213</v>
      </c>
      <c r="H89" s="300"/>
      <c r="I89" s="306">
        <f>E88/12*6+E89/12*6</f>
        <v>-1494701.7220710237</v>
      </c>
      <c r="J89" s="299"/>
      <c r="K89" s="311">
        <v>33192922.906947643</v>
      </c>
      <c r="L89" s="340">
        <v>40178</v>
      </c>
      <c r="M89" s="300"/>
      <c r="N89" s="304">
        <f>$N$23</f>
        <v>0.07</v>
      </c>
      <c r="O89" s="315">
        <f>K89*N89</f>
        <v>2323504.6034863354</v>
      </c>
      <c r="P89" s="315">
        <f t="shared" si="13"/>
        <v>3574622.4669020544</v>
      </c>
      <c r="Q89" s="308">
        <f t="shared" si="14"/>
        <v>297885.2055751712</v>
      </c>
    </row>
    <row r="90" spans="1:17" ht="12.75" hidden="1">
      <c r="A90" s="271">
        <f>ROW()</f>
        <v>90</v>
      </c>
      <c r="B90" s="305" t="s">
        <v>318</v>
      </c>
      <c r="C90" s="297" t="s">
        <v>300</v>
      </c>
      <c r="D90" s="299">
        <v>0</v>
      </c>
      <c r="E90" s="299">
        <v>-1494701.722071018</v>
      </c>
      <c r="F90" s="299">
        <v>-38863804.43402776</v>
      </c>
      <c r="G90" s="299">
        <v>30433153.82384111</v>
      </c>
      <c r="H90" s="365"/>
      <c r="I90" s="306">
        <f>E89/12*6+E90/12*6</f>
        <v>-1494701.7220710218</v>
      </c>
      <c r="J90" s="299"/>
      <c r="K90" s="311">
        <v>31353076.684876624</v>
      </c>
      <c r="L90" s="312">
        <v>40543</v>
      </c>
      <c r="M90" s="366"/>
      <c r="N90" s="304">
        <f>$N$23</f>
        <v>0.07</v>
      </c>
      <c r="O90" s="315">
        <f>K90*N90</f>
        <v>2194715.3679413637</v>
      </c>
      <c r="P90" s="315">
        <f t="shared" si="13"/>
        <v>3376485.181448252</v>
      </c>
      <c r="Q90" s="308">
        <f t="shared" si="14"/>
        <v>281373.76512068766</v>
      </c>
    </row>
    <row r="91" spans="1:17" ht="12.75" hidden="1">
      <c r="A91" s="271">
        <f>ROW()</f>
        <v>91</v>
      </c>
      <c r="B91" s="305" t="s">
        <v>319</v>
      </c>
      <c r="C91" s="297" t="s">
        <v>300</v>
      </c>
      <c r="D91" s="299"/>
      <c r="E91" s="299">
        <v>-1494701.722071018</v>
      </c>
      <c r="F91" s="299">
        <v>-39036376.767361104</v>
      </c>
      <c r="G91" s="299">
        <v>28593308.101770096</v>
      </c>
      <c r="H91" s="300"/>
      <c r="I91" s="306">
        <f>E90/12*6+E91/12*6</f>
        <v>-1494701.722071018</v>
      </c>
      <c r="J91" s="299"/>
      <c r="K91" s="311">
        <v>29513230.962805603</v>
      </c>
      <c r="L91" s="340">
        <v>40908</v>
      </c>
      <c r="M91" s="366"/>
      <c r="N91" s="304">
        <f>$N$23</f>
        <v>0.07</v>
      </c>
      <c r="O91" s="315">
        <f>K91*N91</f>
        <v>2065926.1673963924</v>
      </c>
      <c r="P91" s="315">
        <f t="shared" si="13"/>
        <v>3178347.949840604</v>
      </c>
      <c r="Q91" s="308">
        <f t="shared" si="14"/>
        <v>264862.3291533837</v>
      </c>
    </row>
    <row r="92" spans="1:17" ht="12.75" hidden="1">
      <c r="A92" s="271">
        <f>ROW()</f>
        <v>92</v>
      </c>
      <c r="B92" s="305"/>
      <c r="C92" s="297"/>
      <c r="D92" s="299"/>
      <c r="E92" s="299"/>
      <c r="F92" s="299"/>
      <c r="G92" s="299"/>
      <c r="H92" s="299"/>
      <c r="I92" s="306"/>
      <c r="J92" s="299"/>
      <c r="K92" s="299"/>
      <c r="L92" s="303"/>
      <c r="M92" s="300"/>
      <c r="N92" s="300"/>
      <c r="O92" s="308"/>
      <c r="P92" s="308"/>
      <c r="Q92" s="308"/>
    </row>
    <row r="93" spans="1:17" ht="12.75">
      <c r="A93" s="281">
        <f>ROW()</f>
        <v>93</v>
      </c>
      <c r="B93" s="283"/>
      <c r="C93" s="341"/>
      <c r="D93" s="318"/>
      <c r="E93" s="318"/>
      <c r="F93" s="318"/>
      <c r="G93" s="318"/>
      <c r="H93" s="320"/>
      <c r="I93" s="342"/>
      <c r="J93" s="318"/>
      <c r="K93" s="318"/>
      <c r="L93" s="343"/>
      <c r="M93" s="363"/>
      <c r="N93" s="363"/>
      <c r="O93" s="354"/>
      <c r="P93" s="354"/>
      <c r="Q93" s="354"/>
    </row>
    <row r="94" spans="1:17" ht="12.75">
      <c r="A94" s="271">
        <f>ROW()</f>
        <v>94</v>
      </c>
      <c r="B94" s="293" t="s">
        <v>332</v>
      </c>
      <c r="C94" s="297"/>
      <c r="D94" s="299"/>
      <c r="E94" s="299"/>
      <c r="F94" s="299"/>
      <c r="G94" s="299"/>
      <c r="H94" s="300"/>
      <c r="I94" s="345" t="s">
        <v>333</v>
      </c>
      <c r="J94" s="299"/>
      <c r="K94" s="299"/>
      <c r="L94" s="340"/>
      <c r="M94" s="359"/>
      <c r="N94" s="359"/>
      <c r="O94" s="308"/>
      <c r="P94" s="308"/>
      <c r="Q94" s="309"/>
    </row>
    <row r="95" spans="1:17" ht="12.75" hidden="1">
      <c r="A95" s="271">
        <f>ROW()</f>
        <v>95</v>
      </c>
      <c r="B95" s="305" t="s">
        <v>299</v>
      </c>
      <c r="C95" s="297" t="s">
        <v>300</v>
      </c>
      <c r="D95" s="299"/>
      <c r="E95" s="299"/>
      <c r="F95" s="299"/>
      <c r="G95" s="299">
        <f>0</f>
        <v>0</v>
      </c>
      <c r="H95" s="300"/>
      <c r="I95" s="306"/>
      <c r="J95" s="299"/>
      <c r="K95" s="299"/>
      <c r="L95" s="340"/>
      <c r="M95" s="300"/>
      <c r="N95" s="304"/>
      <c r="O95" s="308"/>
      <c r="P95" s="308"/>
      <c r="Q95" s="367"/>
    </row>
    <row r="96" spans="1:17" ht="12.75" hidden="1">
      <c r="A96" s="271">
        <f>ROW()</f>
        <v>96</v>
      </c>
      <c r="B96" s="305" t="s">
        <v>305</v>
      </c>
      <c r="C96" s="297" t="s">
        <v>300</v>
      </c>
      <c r="D96" s="299">
        <v>0</v>
      </c>
      <c r="E96" s="299">
        <v>0</v>
      </c>
      <c r="F96" s="299">
        <v>0</v>
      </c>
      <c r="G96" s="299">
        <v>-977293.0829999999</v>
      </c>
      <c r="H96" s="300"/>
      <c r="I96" s="306"/>
      <c r="J96" s="299"/>
      <c r="K96" s="299"/>
      <c r="L96" s="340"/>
      <c r="M96" s="300"/>
      <c r="N96" s="304"/>
      <c r="O96" s="308"/>
      <c r="P96" s="308"/>
      <c r="Q96" s="367"/>
    </row>
    <row r="97" spans="1:17" ht="12.75" hidden="1">
      <c r="A97" s="271">
        <f>ROW()</f>
        <v>97</v>
      </c>
      <c r="B97" s="305" t="s">
        <v>306</v>
      </c>
      <c r="C97" s="297" t="s">
        <v>300</v>
      </c>
      <c r="D97" s="299">
        <v>0</v>
      </c>
      <c r="E97" s="299">
        <v>632917.1562500001</v>
      </c>
      <c r="F97" s="299">
        <v>-221521.00468750004</v>
      </c>
      <c r="G97" s="299">
        <v>-6170942.273437503</v>
      </c>
      <c r="H97" s="300"/>
      <c r="I97" s="360">
        <v>0</v>
      </c>
      <c r="J97" s="311">
        <v>0</v>
      </c>
      <c r="K97" s="311">
        <v>-1317325.5834375003</v>
      </c>
      <c r="L97" s="340">
        <v>38533</v>
      </c>
      <c r="M97" s="300"/>
      <c r="N97" s="314" t="str">
        <f>N84</f>
        <v>7.3%&amp;7.01%</v>
      </c>
      <c r="O97" s="315">
        <v>-62513.053967568776</v>
      </c>
      <c r="P97" s="315">
        <f aca="true" t="shared" si="15" ref="P97:P102">+O97/(1-0.35)</f>
        <v>-96173.92918087504</v>
      </c>
      <c r="Q97" s="308">
        <f aca="true" t="shared" si="16" ref="Q97:Q102">P97/12</f>
        <v>-8014.494098406253</v>
      </c>
    </row>
    <row r="98" spans="1:17" ht="12.75" hidden="1">
      <c r="A98" s="271">
        <f>ROW()</f>
        <v>98</v>
      </c>
      <c r="B98" s="316" t="s">
        <v>308</v>
      </c>
      <c r="C98" s="317" t="s">
        <v>300</v>
      </c>
      <c r="D98" s="318">
        <v>0</v>
      </c>
      <c r="E98" s="319">
        <v>3797502.9375000005</v>
      </c>
      <c r="F98" s="318">
        <v>-1329126.0281250002</v>
      </c>
      <c r="G98" s="319">
        <v>-3702565.364062503</v>
      </c>
      <c r="H98" s="320"/>
      <c r="I98" s="321">
        <v>2531668.6250000005</v>
      </c>
      <c r="J98" s="322">
        <v>0</v>
      </c>
      <c r="K98" s="318">
        <v>-5490031.494187501</v>
      </c>
      <c r="L98" s="323">
        <v>38898</v>
      </c>
      <c r="M98" s="324"/>
      <c r="N98" s="325">
        <f>$N$19</f>
        <v>0.07010000000000001</v>
      </c>
      <c r="O98" s="326">
        <f>K98*N98</f>
        <v>-384851.2077425439</v>
      </c>
      <c r="P98" s="326">
        <f t="shared" si="15"/>
        <v>-592078.7811423752</v>
      </c>
      <c r="Q98" s="327">
        <f t="shared" si="16"/>
        <v>-49339.89842853127</v>
      </c>
    </row>
    <row r="99" spans="1:17" ht="12.75" hidden="1">
      <c r="A99" s="271">
        <f>ROW()</f>
        <v>99</v>
      </c>
      <c r="B99" s="328"/>
      <c r="C99" s="329"/>
      <c r="D99" s="330"/>
      <c r="E99" s="331"/>
      <c r="F99" s="330"/>
      <c r="G99" s="331"/>
      <c r="H99" s="332"/>
      <c r="I99" s="333">
        <v>1898751.4687500002</v>
      </c>
      <c r="J99" s="334"/>
      <c r="K99" s="330">
        <v>-4319659.591406253</v>
      </c>
      <c r="L99" s="335">
        <v>39082</v>
      </c>
      <c r="M99" s="332"/>
      <c r="N99" s="336">
        <f>$N$19</f>
        <v>0.07010000000000001</v>
      </c>
      <c r="O99" s="337">
        <f>K99*N99</f>
        <v>-302808.1373575784</v>
      </c>
      <c r="P99" s="337">
        <f t="shared" si="15"/>
        <v>-465858.6728578129</v>
      </c>
      <c r="Q99" s="338">
        <f t="shared" si="16"/>
        <v>-38821.55607148441</v>
      </c>
    </row>
    <row r="100" spans="1:17" ht="12.75" hidden="1">
      <c r="A100" s="271">
        <f>ROW()</f>
        <v>100</v>
      </c>
      <c r="B100" s="305" t="s">
        <v>309</v>
      </c>
      <c r="C100" s="297" t="s">
        <v>300</v>
      </c>
      <c r="D100" s="299">
        <v>0</v>
      </c>
      <c r="E100" s="299">
        <v>3797502.9375000005</v>
      </c>
      <c r="F100" s="299">
        <v>-1329126.0281250002</v>
      </c>
      <c r="G100" s="299">
        <v>-1234188.4546875036</v>
      </c>
      <c r="H100" s="300"/>
      <c r="I100" s="360">
        <v>3797502.9375000005</v>
      </c>
      <c r="J100" s="299"/>
      <c r="K100" s="311">
        <v>-2468376.9093750035</v>
      </c>
      <c r="L100" s="340">
        <v>39447</v>
      </c>
      <c r="M100" s="300"/>
      <c r="N100" s="314" t="s">
        <v>310</v>
      </c>
      <c r="O100" s="315">
        <v>-174226.83374309106</v>
      </c>
      <c r="P100" s="315">
        <f t="shared" si="15"/>
        <v>-268041.28268167854</v>
      </c>
      <c r="Q100" s="308">
        <f t="shared" si="16"/>
        <v>-22336.773556806544</v>
      </c>
    </row>
    <row r="101" spans="1:17" ht="12.75">
      <c r="A101" s="271">
        <f>ROW()</f>
        <v>101</v>
      </c>
      <c r="B101" s="305" t="s">
        <v>311</v>
      </c>
      <c r="C101" s="297" t="s">
        <v>300</v>
      </c>
      <c r="D101" s="299">
        <v>0</v>
      </c>
      <c r="E101" s="299">
        <v>1898751.4687500002</v>
      </c>
      <c r="F101" s="299">
        <v>-664563.0140625001</v>
      </c>
      <c r="G101" s="299">
        <v>-2.8230715543031693E-09</v>
      </c>
      <c r="H101" s="300"/>
      <c r="I101" s="360">
        <v>1898751.4687500002</v>
      </c>
      <c r="J101" s="299"/>
      <c r="K101" s="311">
        <v>-308547.1136718778</v>
      </c>
      <c r="L101" s="340">
        <v>39813</v>
      </c>
      <c r="M101" s="300"/>
      <c r="N101" s="314" t="str">
        <f>$N$22</f>
        <v>7.06%&amp;7.00%</v>
      </c>
      <c r="O101" s="315">
        <v>-21752.571513867384</v>
      </c>
      <c r="P101" s="315">
        <f t="shared" si="15"/>
        <v>-33465.49463671905</v>
      </c>
      <c r="Q101" s="308">
        <f t="shared" si="16"/>
        <v>-2788.7912197265873</v>
      </c>
    </row>
    <row r="102" spans="1:17" ht="12.75" hidden="1">
      <c r="A102" s="271">
        <f>ROW()</f>
        <v>102</v>
      </c>
      <c r="B102" s="305" t="s">
        <v>313</v>
      </c>
      <c r="C102" s="297" t="s">
        <v>300</v>
      </c>
      <c r="D102" s="299">
        <v>0</v>
      </c>
      <c r="E102" s="299">
        <v>0</v>
      </c>
      <c r="F102" s="299">
        <v>0</v>
      </c>
      <c r="G102" s="299">
        <v>0</v>
      </c>
      <c r="H102" s="300"/>
      <c r="I102" s="360">
        <v>0</v>
      </c>
      <c r="J102" s="299"/>
      <c r="K102" s="311">
        <v>0</v>
      </c>
      <c r="L102" s="340">
        <v>40178</v>
      </c>
      <c r="M102" s="300"/>
      <c r="N102" s="304">
        <f>$N$23</f>
        <v>0.07</v>
      </c>
      <c r="O102" s="315">
        <f>K102*N102</f>
        <v>0</v>
      </c>
      <c r="P102" s="315">
        <f t="shared" si="15"/>
        <v>0</v>
      </c>
      <c r="Q102" s="308">
        <f t="shared" si="16"/>
        <v>0</v>
      </c>
    </row>
    <row r="103" spans="1:17" ht="12.75" hidden="1">
      <c r="A103" s="271">
        <f>ROW()</f>
        <v>103</v>
      </c>
      <c r="B103" s="368"/>
      <c r="C103" s="330"/>
      <c r="D103" s="330"/>
      <c r="E103" s="330"/>
      <c r="F103" s="330"/>
      <c r="G103" s="330"/>
      <c r="H103" s="332"/>
      <c r="I103" s="352"/>
      <c r="J103" s="330"/>
      <c r="K103" s="330"/>
      <c r="L103" s="335"/>
      <c r="M103" s="332"/>
      <c r="N103" s="336"/>
      <c r="O103" s="353"/>
      <c r="P103" s="353"/>
      <c r="Q103" s="353"/>
    </row>
    <row r="104" spans="1:17" ht="12.75">
      <c r="A104" s="281">
        <f>ROW()</f>
        <v>104</v>
      </c>
      <c r="B104" s="369"/>
      <c r="C104" s="318"/>
      <c r="D104" s="318"/>
      <c r="E104" s="318"/>
      <c r="F104" s="318"/>
      <c r="G104" s="318"/>
      <c r="H104" s="370"/>
      <c r="I104" s="318"/>
      <c r="J104" s="318"/>
      <c r="K104" s="318"/>
      <c r="L104" s="343"/>
      <c r="M104" s="320"/>
      <c r="N104" s="325"/>
      <c r="O104" s="354"/>
      <c r="P104" s="354"/>
      <c r="Q104" s="354"/>
    </row>
    <row r="105" spans="1:16" ht="12.75">
      <c r="A105" s="271">
        <f>ROW()</f>
        <v>105</v>
      </c>
      <c r="B105" s="293" t="s">
        <v>334</v>
      </c>
      <c r="C105" s="299"/>
      <c r="D105" s="299"/>
      <c r="E105" s="299"/>
      <c r="F105" s="299"/>
      <c r="G105" s="299"/>
      <c r="H105" s="371"/>
      <c r="I105" s="372" t="s">
        <v>335</v>
      </c>
      <c r="J105" s="299"/>
      <c r="K105" s="299"/>
      <c r="L105" s="373"/>
      <c r="M105" s="374"/>
      <c r="N105" s="375"/>
      <c r="O105" s="308"/>
      <c r="P105" s="308"/>
    </row>
    <row r="106" spans="1:16" ht="12.75" hidden="1">
      <c r="A106" s="271">
        <f>ROW()</f>
        <v>106</v>
      </c>
      <c r="B106" s="305" t="s">
        <v>299</v>
      </c>
      <c r="C106" s="297" t="s">
        <v>300</v>
      </c>
      <c r="D106" s="299"/>
      <c r="E106" s="299"/>
      <c r="F106" s="299"/>
      <c r="G106" s="299">
        <v>10750000</v>
      </c>
      <c r="H106" s="371"/>
      <c r="I106" s="299"/>
      <c r="J106" s="299"/>
      <c r="K106" s="299"/>
      <c r="L106" s="373"/>
      <c r="M106" s="374"/>
      <c r="N106" s="375"/>
      <c r="O106" s="308"/>
      <c r="P106" s="308"/>
    </row>
    <row r="107" spans="1:17" ht="12.75" hidden="1">
      <c r="A107" s="271">
        <f>ROW()</f>
        <v>107</v>
      </c>
      <c r="B107" s="305" t="s">
        <v>306</v>
      </c>
      <c r="C107" s="297" t="s">
        <v>300</v>
      </c>
      <c r="D107" s="299"/>
      <c r="E107" s="299">
        <v>0</v>
      </c>
      <c r="F107" s="299"/>
      <c r="G107" s="299">
        <f>G106+E107</f>
        <v>10750000</v>
      </c>
      <c r="H107" s="371"/>
      <c r="I107" s="299">
        <v>0</v>
      </c>
      <c r="J107" s="299"/>
      <c r="K107" s="299">
        <v>0</v>
      </c>
      <c r="L107" s="340">
        <v>38533</v>
      </c>
      <c r="M107" s="374"/>
      <c r="N107" s="314" t="str">
        <f>N97</f>
        <v>7.3%&amp;7.01%</v>
      </c>
      <c r="O107" s="308">
        <v>0</v>
      </c>
      <c r="P107" s="308">
        <v>0</v>
      </c>
      <c r="Q107" s="308">
        <v>0</v>
      </c>
    </row>
    <row r="108" spans="1:17" ht="12.75" hidden="1">
      <c r="A108" s="271">
        <f>ROW()</f>
        <v>108</v>
      </c>
      <c r="B108" s="316" t="s">
        <v>308</v>
      </c>
      <c r="C108" s="317" t="s">
        <v>300</v>
      </c>
      <c r="D108" s="318"/>
      <c r="E108" s="318">
        <v>-1872029.49</v>
      </c>
      <c r="F108" s="318"/>
      <c r="G108" s="318">
        <f>G107+E108-20000</f>
        <v>8857970.51</v>
      </c>
      <c r="H108" s="320"/>
      <c r="I108" s="321">
        <v>-367908.8928248915</v>
      </c>
      <c r="J108" s="322"/>
      <c r="K108" s="318">
        <v>6670465.356423163</v>
      </c>
      <c r="L108" s="323">
        <v>38898</v>
      </c>
      <c r="M108" s="324"/>
      <c r="N108" s="325">
        <f>$N$19</f>
        <v>0.07010000000000001</v>
      </c>
      <c r="O108" s="326">
        <f>K108*N108</f>
        <v>467599.6214852638</v>
      </c>
      <c r="P108" s="326">
        <f aca="true" t="shared" si="17" ref="P108:P115">+O108/(1-0.35)</f>
        <v>719384.033054252</v>
      </c>
      <c r="Q108" s="327">
        <f aca="true" t="shared" si="18" ref="Q108:Q115">P108/12</f>
        <v>59948.66942118767</v>
      </c>
    </row>
    <row r="109" spans="1:17" ht="12.75" hidden="1">
      <c r="A109" s="271">
        <f>ROW()</f>
        <v>109</v>
      </c>
      <c r="B109" s="328"/>
      <c r="C109" s="329"/>
      <c r="D109" s="330"/>
      <c r="E109" s="331"/>
      <c r="F109" s="330"/>
      <c r="G109" s="331"/>
      <c r="H109" s="332"/>
      <c r="I109" s="333">
        <f>+E108-I108</f>
        <v>-1504120.5971751085</v>
      </c>
      <c r="J109" s="334"/>
      <c r="K109" s="330">
        <v>9365524.824166667</v>
      </c>
      <c r="L109" s="335">
        <v>39082</v>
      </c>
      <c r="M109" s="332"/>
      <c r="N109" s="336">
        <f>$N$19</f>
        <v>0.07010000000000001</v>
      </c>
      <c r="O109" s="337">
        <f>K109*N109</f>
        <v>656523.2901740834</v>
      </c>
      <c r="P109" s="337">
        <f t="shared" si="17"/>
        <v>1010035.8310370514</v>
      </c>
      <c r="Q109" s="338">
        <f t="shared" si="18"/>
        <v>84169.65258642095</v>
      </c>
    </row>
    <row r="110" spans="1:17" ht="12.75" hidden="1">
      <c r="A110" s="271">
        <f>ROW()</f>
        <v>110</v>
      </c>
      <c r="B110" s="305" t="s">
        <v>309</v>
      </c>
      <c r="C110" s="297" t="s">
        <v>300</v>
      </c>
      <c r="D110" s="299"/>
      <c r="E110" s="299">
        <v>-1119300.0199999998</v>
      </c>
      <c r="F110" s="299"/>
      <c r="G110" s="299">
        <f>G108+E110-518609</f>
        <v>7220061.49</v>
      </c>
      <c r="H110" s="371"/>
      <c r="I110" s="360">
        <f aca="true" t="shared" si="19" ref="I110:I115">E110</f>
        <v>-1119300.0199999998</v>
      </c>
      <c r="J110" s="299"/>
      <c r="K110" s="311">
        <v>8276041.744583335</v>
      </c>
      <c r="L110" s="340">
        <v>39447</v>
      </c>
      <c r="M110" s="374"/>
      <c r="N110" s="314" t="s">
        <v>310</v>
      </c>
      <c r="O110" s="315">
        <v>584152.5026457546</v>
      </c>
      <c r="P110" s="315">
        <f t="shared" si="17"/>
        <v>898696.1579165455</v>
      </c>
      <c r="Q110" s="308">
        <f t="shared" si="18"/>
        <v>74891.34649304546</v>
      </c>
    </row>
    <row r="111" spans="1:17" ht="12.75">
      <c r="A111" s="349">
        <f>ROW()</f>
        <v>111</v>
      </c>
      <c r="B111" s="350" t="s">
        <v>311</v>
      </c>
      <c r="C111" s="351" t="s">
        <v>300</v>
      </c>
      <c r="D111" s="330"/>
      <c r="E111" s="330">
        <v>-1992887.67</v>
      </c>
      <c r="F111" s="330"/>
      <c r="G111" s="330">
        <f>4272174</f>
        <v>4272174</v>
      </c>
      <c r="H111" s="332"/>
      <c r="I111" s="376">
        <f t="shared" si="19"/>
        <v>-1992887.67</v>
      </c>
      <c r="J111" s="330"/>
      <c r="K111" s="357">
        <v>6016809.09375</v>
      </c>
      <c r="L111" s="335">
        <v>39813</v>
      </c>
      <c r="M111" s="332"/>
      <c r="N111" s="377" t="str">
        <f>$N$22</f>
        <v>7.06%&amp;7.00%</v>
      </c>
      <c r="O111" s="337">
        <v>424185.04110937513</v>
      </c>
      <c r="P111" s="337">
        <f t="shared" si="17"/>
        <v>652592.3709375001</v>
      </c>
      <c r="Q111" s="353">
        <f t="shared" si="18"/>
        <v>54382.697578125015</v>
      </c>
    </row>
    <row r="112" spans="1:17" ht="12.75" hidden="1">
      <c r="A112" s="271">
        <f>ROW()</f>
        <v>112</v>
      </c>
      <c r="B112" s="305" t="s">
        <v>313</v>
      </c>
      <c r="C112" s="297" t="s">
        <v>300</v>
      </c>
      <c r="D112" s="299"/>
      <c r="E112" s="299">
        <v>-2158117.17</v>
      </c>
      <c r="F112" s="299"/>
      <c r="G112" s="299">
        <f>G111+E112</f>
        <v>2114056.83</v>
      </c>
      <c r="H112" s="371"/>
      <c r="I112" s="360">
        <f t="shared" si="19"/>
        <v>-2158117.17</v>
      </c>
      <c r="J112" s="299"/>
      <c r="K112" s="299">
        <v>3656422.2304166676</v>
      </c>
      <c r="L112" s="340">
        <v>40178</v>
      </c>
      <c r="M112" s="374"/>
      <c r="N112" s="378">
        <f>$N$23</f>
        <v>0.07</v>
      </c>
      <c r="O112" s="315">
        <f>K112*N112</f>
        <v>255949.55612916677</v>
      </c>
      <c r="P112" s="315">
        <f t="shared" si="17"/>
        <v>393768.5478910258</v>
      </c>
      <c r="Q112" s="308">
        <f t="shared" si="18"/>
        <v>32814.045657585484</v>
      </c>
    </row>
    <row r="113" spans="1:17" ht="12.75" hidden="1">
      <c r="A113" s="271">
        <f>ROW()</f>
        <v>113</v>
      </c>
      <c r="B113" s="305" t="s">
        <v>318</v>
      </c>
      <c r="C113" s="297" t="s">
        <v>300</v>
      </c>
      <c r="D113" s="299"/>
      <c r="E113" s="299">
        <v>-2172745.400000003</v>
      </c>
      <c r="F113" s="299"/>
      <c r="G113" s="299">
        <f>G112+E113</f>
        <v>-58688.57000000309</v>
      </c>
      <c r="H113" s="371"/>
      <c r="I113" s="360">
        <f t="shared" si="19"/>
        <v>-2172745.400000003</v>
      </c>
      <c r="J113" s="299"/>
      <c r="K113" s="299">
        <v>1450375.1300000004</v>
      </c>
      <c r="L113" s="312">
        <v>40543</v>
      </c>
      <c r="M113" s="374"/>
      <c r="N113" s="378">
        <f>$N$23</f>
        <v>0.07</v>
      </c>
      <c r="O113" s="315">
        <f>K113*N113</f>
        <v>101526.25910000004</v>
      </c>
      <c r="P113" s="315">
        <f t="shared" si="17"/>
        <v>156194.24476923083</v>
      </c>
      <c r="Q113" s="308">
        <f t="shared" si="18"/>
        <v>13016.187064102569</v>
      </c>
    </row>
    <row r="114" spans="1:17" ht="12.75" hidden="1">
      <c r="A114" s="271">
        <f>ROW()</f>
        <v>114</v>
      </c>
      <c r="B114" s="305" t="s">
        <v>319</v>
      </c>
      <c r="C114" s="297" t="s">
        <v>300</v>
      </c>
      <c r="D114" s="299"/>
      <c r="E114" s="299">
        <v>-396309.67000000144</v>
      </c>
      <c r="F114" s="299"/>
      <c r="G114" s="299">
        <f>G113+E114</f>
        <v>-454998.24000000453</v>
      </c>
      <c r="H114" s="374"/>
      <c r="I114" s="360">
        <f t="shared" si="19"/>
        <v>-396309.67000000144</v>
      </c>
      <c r="J114" s="299"/>
      <c r="K114" s="299">
        <v>62992.71291666301</v>
      </c>
      <c r="L114" s="340">
        <v>40908</v>
      </c>
      <c r="M114" s="374"/>
      <c r="N114" s="378">
        <f>$N$23</f>
        <v>0.07</v>
      </c>
      <c r="O114" s="315">
        <f>K114*N114</f>
        <v>4409.489904166411</v>
      </c>
      <c r="P114" s="315">
        <f t="shared" si="17"/>
        <v>6783.830621794478</v>
      </c>
      <c r="Q114" s="308">
        <f t="shared" si="18"/>
        <v>565.3192184828732</v>
      </c>
    </row>
    <row r="115" spans="1:17" ht="12.75" hidden="1">
      <c r="A115" s="271">
        <f>ROW()</f>
        <v>115</v>
      </c>
      <c r="B115" s="305" t="s">
        <v>320</v>
      </c>
      <c r="C115" s="297" t="s">
        <v>300</v>
      </c>
      <c r="D115" s="299"/>
      <c r="E115" s="299">
        <v>0.060000000000000005</v>
      </c>
      <c r="F115" s="299"/>
      <c r="G115" s="299">
        <f>G114+E115</f>
        <v>-454998.18000000453</v>
      </c>
      <c r="H115" s="371"/>
      <c r="I115" s="360">
        <f t="shared" si="19"/>
        <v>0.060000000000000005</v>
      </c>
      <c r="J115" s="299"/>
      <c r="K115" s="299">
        <v>1.8099999957917683</v>
      </c>
      <c r="L115" s="312">
        <v>41274</v>
      </c>
      <c r="M115" s="374"/>
      <c r="N115" s="378">
        <f>$N$23</f>
        <v>0.07</v>
      </c>
      <c r="O115" s="315">
        <f>K115*N115</f>
        <v>0.12669999970542378</v>
      </c>
      <c r="P115" s="315">
        <f t="shared" si="17"/>
        <v>0.19492307646988274</v>
      </c>
      <c r="Q115" s="308">
        <f t="shared" si="18"/>
        <v>0.016243589705823562</v>
      </c>
    </row>
    <row r="116" spans="1:17" ht="12.75" hidden="1">
      <c r="A116" s="349">
        <f>ROW()</f>
        <v>116</v>
      </c>
      <c r="B116" s="350"/>
      <c r="C116" s="351"/>
      <c r="D116" s="330"/>
      <c r="E116" s="330"/>
      <c r="F116" s="330"/>
      <c r="G116" s="330"/>
      <c r="H116" s="379"/>
      <c r="I116" s="380"/>
      <c r="J116" s="330"/>
      <c r="K116" s="330"/>
      <c r="L116" s="381"/>
      <c r="M116" s="382"/>
      <c r="N116" s="383"/>
      <c r="O116" s="337"/>
      <c r="P116" s="337"/>
      <c r="Q116" s="353"/>
    </row>
    <row r="117" spans="1:17" ht="12.75">
      <c r="A117" s="271">
        <f>ROW()</f>
        <v>117</v>
      </c>
      <c r="B117" s="305"/>
      <c r="C117" s="297"/>
      <c r="D117" s="299"/>
      <c r="E117" s="299"/>
      <c r="F117" s="299"/>
      <c r="G117" s="299"/>
      <c r="H117" s="371"/>
      <c r="I117" s="355"/>
      <c r="J117" s="299"/>
      <c r="K117" s="299"/>
      <c r="L117" s="312"/>
      <c r="M117" s="374"/>
      <c r="N117" s="378"/>
      <c r="O117" s="315"/>
      <c r="P117" s="315"/>
      <c r="Q117" s="308"/>
    </row>
    <row r="118" spans="1:16" ht="12.75">
      <c r="A118" s="271">
        <f>ROW()</f>
        <v>118</v>
      </c>
      <c r="B118" s="293" t="s">
        <v>336</v>
      </c>
      <c r="C118" s="299"/>
      <c r="D118" s="299"/>
      <c r="E118" s="299"/>
      <c r="F118" s="299"/>
      <c r="G118" s="299"/>
      <c r="H118" s="300"/>
      <c r="I118" s="345" t="s">
        <v>337</v>
      </c>
      <c r="J118" s="299"/>
      <c r="K118" s="299"/>
      <c r="L118" s="303"/>
      <c r="M118" s="300"/>
      <c r="N118" s="279"/>
      <c r="O118" s="308"/>
      <c r="P118" s="308"/>
    </row>
    <row r="119" spans="1:17" ht="12.75">
      <c r="A119" s="349">
        <f>ROW()</f>
        <v>119</v>
      </c>
      <c r="B119" s="350" t="s">
        <v>311</v>
      </c>
      <c r="C119" s="351" t="s">
        <v>300</v>
      </c>
      <c r="D119" s="330"/>
      <c r="E119" s="330">
        <v>-693692.3039541667</v>
      </c>
      <c r="F119" s="330"/>
      <c r="G119" s="330">
        <v>7665067.074932083</v>
      </c>
      <c r="H119" s="332"/>
      <c r="I119" s="376">
        <f>E119</f>
        <v>-693692.3039541667</v>
      </c>
      <c r="J119" s="330"/>
      <c r="K119" s="357">
        <v>7812600.885653299</v>
      </c>
      <c r="L119" s="335">
        <v>39813</v>
      </c>
      <c r="M119" s="332"/>
      <c r="N119" s="377" t="s">
        <v>312</v>
      </c>
      <c r="O119" s="337">
        <v>91147.01033262184</v>
      </c>
      <c r="P119" s="337">
        <f>+O119/(1-0.35)</f>
        <v>140226.16974249514</v>
      </c>
      <c r="Q119" s="353">
        <f>P119/12</f>
        <v>11685.514145207928</v>
      </c>
    </row>
    <row r="120" spans="1:17" ht="12.75" hidden="1">
      <c r="A120" s="271">
        <f>ROW()</f>
        <v>120</v>
      </c>
      <c r="B120" s="364" t="s">
        <v>313</v>
      </c>
      <c r="C120" s="297" t="s">
        <v>300</v>
      </c>
      <c r="D120" s="299"/>
      <c r="E120" s="299">
        <v>-4162153.8237249996</v>
      </c>
      <c r="F120" s="299"/>
      <c r="G120" s="299">
        <v>4959749.283779581</v>
      </c>
      <c r="H120" s="371"/>
      <c r="I120" s="355">
        <f>E120</f>
        <v>-4162153.8237249996</v>
      </c>
      <c r="J120" s="299"/>
      <c r="K120" s="299">
        <v>6312408.179355833</v>
      </c>
      <c r="L120" s="340">
        <v>40178</v>
      </c>
      <c r="M120" s="374"/>
      <c r="N120" s="304">
        <f>$N$23</f>
        <v>0.07</v>
      </c>
      <c r="O120" s="315">
        <f>K120*N120</f>
        <v>441868.57255490834</v>
      </c>
      <c r="P120" s="315">
        <f>+O120/(1-0.35)</f>
        <v>679797.8039306282</v>
      </c>
      <c r="Q120" s="308">
        <f>P120/12</f>
        <v>56649.81699421902</v>
      </c>
    </row>
    <row r="121" spans="1:17" ht="12.75" hidden="1">
      <c r="A121" s="271">
        <f>ROW()</f>
        <v>121</v>
      </c>
      <c r="B121" s="364" t="s">
        <v>318</v>
      </c>
      <c r="C121" s="297" t="s">
        <v>300</v>
      </c>
      <c r="D121" s="299"/>
      <c r="E121" s="299">
        <v>-4162153.8237249996</v>
      </c>
      <c r="F121" s="299"/>
      <c r="G121" s="299">
        <v>2254431.492627079</v>
      </c>
      <c r="H121" s="371"/>
      <c r="I121" s="355">
        <f>E121</f>
        <v>-4162153.8237249996</v>
      </c>
      <c r="J121" s="299"/>
      <c r="K121" s="299">
        <v>3607090.38820333</v>
      </c>
      <c r="L121" s="312">
        <v>40543</v>
      </c>
      <c r="M121" s="374"/>
      <c r="N121" s="304">
        <f>$N$23</f>
        <v>0.07</v>
      </c>
      <c r="O121" s="315">
        <f>K121*N121</f>
        <v>252496.32717423313</v>
      </c>
      <c r="P121" s="315">
        <f>+O121/(1-0.35)</f>
        <v>388455.88796035864</v>
      </c>
      <c r="Q121" s="308">
        <f>P121/12</f>
        <v>32371.323996696552</v>
      </c>
    </row>
    <row r="122" spans="1:17" ht="12.75" hidden="1">
      <c r="A122" s="271">
        <f>ROW()</f>
        <v>122</v>
      </c>
      <c r="B122" s="364" t="s">
        <v>319</v>
      </c>
      <c r="C122" s="297" t="s">
        <v>300</v>
      </c>
      <c r="D122" s="299"/>
      <c r="E122" s="299">
        <v>-3468461.519770833</v>
      </c>
      <c r="F122" s="299"/>
      <c r="G122" s="299">
        <v>0</v>
      </c>
      <c r="H122" s="371"/>
      <c r="I122" s="355">
        <f>E122</f>
        <v>-3468461.519770833</v>
      </c>
      <c r="J122" s="299"/>
      <c r="K122" s="299">
        <v>939346.4552612836</v>
      </c>
      <c r="L122" s="340">
        <v>40908</v>
      </c>
      <c r="M122" s="374"/>
      <c r="N122" s="304">
        <f>$N$23</f>
        <v>0.07</v>
      </c>
      <c r="O122" s="315">
        <f>K122*N122</f>
        <v>65754.25186828985</v>
      </c>
      <c r="P122" s="315">
        <f>+O122/(1-0.35)</f>
        <v>101160.3874896767</v>
      </c>
      <c r="Q122" s="308">
        <f>P122/12</f>
        <v>8430.032290806392</v>
      </c>
    </row>
    <row r="123" spans="1:17" ht="12.75" hidden="1">
      <c r="A123" s="349">
        <f>ROW()</f>
        <v>123</v>
      </c>
      <c r="B123" s="350"/>
      <c r="C123" s="351"/>
      <c r="D123" s="330"/>
      <c r="E123" s="330"/>
      <c r="F123" s="330"/>
      <c r="G123" s="330"/>
      <c r="H123" s="379"/>
      <c r="I123" s="380"/>
      <c r="J123" s="330"/>
      <c r="K123" s="330"/>
      <c r="L123" s="381"/>
      <c r="M123" s="382"/>
      <c r="N123" s="383"/>
      <c r="O123" s="337"/>
      <c r="P123" s="337"/>
      <c r="Q123" s="353"/>
    </row>
    <row r="124" spans="1:17" ht="12.75">
      <c r="A124" s="271">
        <f>ROW()</f>
        <v>124</v>
      </c>
      <c r="B124" s="305"/>
      <c r="C124" s="297"/>
      <c r="D124" s="299"/>
      <c r="E124" s="299"/>
      <c r="F124" s="299"/>
      <c r="G124" s="299"/>
      <c r="H124" s="371"/>
      <c r="I124" s="355"/>
      <c r="J124" s="299"/>
      <c r="K124" s="299"/>
      <c r="L124" s="312"/>
      <c r="M124" s="374"/>
      <c r="N124" s="378"/>
      <c r="O124" s="315"/>
      <c r="P124" s="315"/>
      <c r="Q124" s="308"/>
    </row>
    <row r="125" spans="1:17" ht="12.75">
      <c r="A125" s="271">
        <f>ROW()</f>
        <v>125</v>
      </c>
      <c r="B125" s="293" t="s">
        <v>338</v>
      </c>
      <c r="C125" s="297"/>
      <c r="D125" s="299"/>
      <c r="E125" s="299"/>
      <c r="F125" s="299"/>
      <c r="G125" s="299"/>
      <c r="H125" s="371"/>
      <c r="I125" s="345" t="s">
        <v>339</v>
      </c>
      <c r="J125" s="299"/>
      <c r="K125" s="299"/>
      <c r="L125" s="312"/>
      <c r="M125" s="374"/>
      <c r="N125" s="378"/>
      <c r="O125" s="315"/>
      <c r="P125" s="315"/>
      <c r="Q125" s="308"/>
    </row>
    <row r="126" spans="1:17" ht="12.75">
      <c r="A126" s="271">
        <f>ROW()</f>
        <v>126</v>
      </c>
      <c r="B126" s="364" t="s">
        <v>311</v>
      </c>
      <c r="C126" s="297" t="s">
        <v>300</v>
      </c>
      <c r="D126" s="299"/>
      <c r="E126" s="299">
        <v>241916.66666666666</v>
      </c>
      <c r="F126" s="299"/>
      <c r="G126" s="299">
        <v>-1729704.166666667</v>
      </c>
      <c r="H126" s="371"/>
      <c r="I126" s="355">
        <f>E126</f>
        <v>241916.66666666666</v>
      </c>
      <c r="J126" s="299"/>
      <c r="K126" s="299">
        <v>-464681.5972222222</v>
      </c>
      <c r="L126" s="340">
        <v>39813</v>
      </c>
      <c r="M126" s="374"/>
      <c r="N126" s="314" t="s">
        <v>312</v>
      </c>
      <c r="O126" s="315">
        <v>-5421.285300925926</v>
      </c>
      <c r="P126" s="315">
        <f>+O126/(1-0.35)</f>
        <v>-8340.438924501424</v>
      </c>
      <c r="Q126" s="308">
        <f>P126/12</f>
        <v>-695.0365770417853</v>
      </c>
    </row>
    <row r="127" spans="1:17" ht="12.75" hidden="1">
      <c r="A127" s="271">
        <f>ROW()</f>
        <v>127</v>
      </c>
      <c r="B127" s="364" t="s">
        <v>313</v>
      </c>
      <c r="C127" s="297" t="s">
        <v>300</v>
      </c>
      <c r="D127" s="299"/>
      <c r="E127" s="299">
        <v>1451499.9999999998</v>
      </c>
      <c r="F127" s="299"/>
      <c r="G127" s="299">
        <v>-786229.166666667</v>
      </c>
      <c r="H127" s="371"/>
      <c r="I127" s="355">
        <f>E127</f>
        <v>1451499.9999999998</v>
      </c>
      <c r="J127" s="299"/>
      <c r="K127" s="299">
        <v>-1257966.6666666667</v>
      </c>
      <c r="L127" s="340">
        <v>40178</v>
      </c>
      <c r="M127" s="374"/>
      <c r="N127" s="304">
        <f>$N$23</f>
        <v>0.07</v>
      </c>
      <c r="O127" s="315">
        <f>K127*N127</f>
        <v>-88057.66666666669</v>
      </c>
      <c r="P127" s="315">
        <f>+O127/(1-0.35)</f>
        <v>-135473.33333333337</v>
      </c>
      <c r="Q127" s="308">
        <f>P127/12</f>
        <v>-11289.444444444447</v>
      </c>
    </row>
    <row r="128" spans="1:17" ht="12.75" hidden="1">
      <c r="A128" s="271">
        <f>ROW()</f>
        <v>128</v>
      </c>
      <c r="B128" s="364" t="s">
        <v>318</v>
      </c>
      <c r="C128" s="297" t="s">
        <v>300</v>
      </c>
      <c r="D128" s="299"/>
      <c r="E128" s="299">
        <v>1209583.3333333333</v>
      </c>
      <c r="F128" s="299"/>
      <c r="G128" s="299">
        <v>0</v>
      </c>
      <c r="H128" s="371"/>
      <c r="I128" s="355">
        <f>E128</f>
        <v>1209583.3333333333</v>
      </c>
      <c r="J128" s="299"/>
      <c r="K128" s="299">
        <v>-327595.48611111124</v>
      </c>
      <c r="L128" s="312">
        <v>40543</v>
      </c>
      <c r="M128" s="374"/>
      <c r="N128" s="304">
        <f>$N$23</f>
        <v>0.07</v>
      </c>
      <c r="O128" s="315">
        <f>K128*N128</f>
        <v>-22931.68402777779</v>
      </c>
      <c r="P128" s="315">
        <f>+O128/(1-0.35)</f>
        <v>-35279.513888888905</v>
      </c>
      <c r="Q128" s="308">
        <f>P128/12</f>
        <v>-2939.9594907407422</v>
      </c>
    </row>
    <row r="129" spans="1:17" ht="12.75">
      <c r="A129" s="281">
        <f>ROW()</f>
        <v>129</v>
      </c>
      <c r="B129" s="369"/>
      <c r="C129" s="318"/>
      <c r="D129" s="318"/>
      <c r="E129" s="318"/>
      <c r="F129" s="318"/>
      <c r="G129" s="318"/>
      <c r="H129" s="320"/>
      <c r="I129" s="318"/>
      <c r="J129" s="318"/>
      <c r="K129" s="318"/>
      <c r="L129" s="384"/>
      <c r="M129" s="320"/>
      <c r="N129" s="291"/>
      <c r="O129" s="354"/>
      <c r="P129" s="354"/>
      <c r="Q129" s="282"/>
    </row>
    <row r="130" spans="1:17" ht="12.75" hidden="1">
      <c r="A130" s="271">
        <f>ROW()</f>
        <v>130</v>
      </c>
      <c r="B130" s="385"/>
      <c r="C130" s="386"/>
      <c r="D130" s="386"/>
      <c r="E130" s="387"/>
      <c r="F130" s="387"/>
      <c r="G130" s="387"/>
      <c r="H130" s="388"/>
      <c r="I130" s="389"/>
      <c r="J130" s="389"/>
      <c r="K130" s="389"/>
      <c r="L130" s="390"/>
      <c r="M130" s="391"/>
      <c r="N130" s="389"/>
      <c r="O130" s="392"/>
      <c r="P130" s="392"/>
      <c r="Q130" s="393"/>
    </row>
    <row r="131" spans="1:17" ht="12.75">
      <c r="A131" s="271">
        <f>ROW()</f>
        <v>131</v>
      </c>
      <c r="B131" s="385"/>
      <c r="C131" s="386"/>
      <c r="D131" s="386"/>
      <c r="E131" s="387"/>
      <c r="F131" s="387"/>
      <c r="G131" s="387"/>
      <c r="H131" s="388"/>
      <c r="I131" s="389"/>
      <c r="J131" s="389"/>
      <c r="K131" s="389"/>
      <c r="L131" s="390"/>
      <c r="M131" s="391"/>
      <c r="N131" s="394" t="s">
        <v>284</v>
      </c>
      <c r="O131" s="395"/>
      <c r="P131" s="395"/>
      <c r="Q131" s="393"/>
    </row>
    <row r="132" spans="1:17" ht="12.75">
      <c r="A132" s="271">
        <f>ROW()</f>
        <v>132</v>
      </c>
      <c r="B132" s="396" t="s">
        <v>340</v>
      </c>
      <c r="C132" s="264"/>
      <c r="D132" s="264"/>
      <c r="E132" s="397" t="s">
        <v>341</v>
      </c>
      <c r="F132" s="397"/>
      <c r="G132" s="397" t="s">
        <v>342</v>
      </c>
      <c r="H132" s="398"/>
      <c r="I132" s="266" t="s">
        <v>287</v>
      </c>
      <c r="J132" s="266" t="s">
        <v>290</v>
      </c>
      <c r="K132" s="250" t="s">
        <v>357</v>
      </c>
      <c r="L132" s="268"/>
      <c r="M132" s="267"/>
      <c r="N132" s="269" t="s">
        <v>291</v>
      </c>
      <c r="O132" s="269" t="s">
        <v>292</v>
      </c>
      <c r="P132" s="399" t="s">
        <v>293</v>
      </c>
      <c r="Q132" s="400" t="s">
        <v>294</v>
      </c>
    </row>
    <row r="133" spans="1:17" ht="12.75">
      <c r="A133" s="271">
        <f>ROW()</f>
        <v>133</v>
      </c>
      <c r="B133" s="401"/>
      <c r="C133" s="402"/>
      <c r="D133" s="402"/>
      <c r="E133" s="403"/>
      <c r="F133" s="403"/>
      <c r="G133" s="403"/>
      <c r="H133" s="278"/>
      <c r="I133" s="346"/>
      <c r="J133" s="346"/>
      <c r="K133" s="346"/>
      <c r="L133" s="340"/>
      <c r="M133" s="300"/>
      <c r="N133" s="346"/>
      <c r="O133" s="404" t="s">
        <v>343</v>
      </c>
      <c r="P133" s="404"/>
      <c r="Q133" s="405"/>
    </row>
    <row r="134" spans="1:17" ht="12.75" hidden="1">
      <c r="A134" s="271">
        <f>ROW()</f>
        <v>134</v>
      </c>
      <c r="B134" s="406" t="s">
        <v>344</v>
      </c>
      <c r="C134" s="402"/>
      <c r="D134" s="402"/>
      <c r="E134" s="407">
        <v>38169</v>
      </c>
      <c r="F134" s="407"/>
      <c r="G134" s="407">
        <v>38533</v>
      </c>
      <c r="H134" s="278"/>
      <c r="I134" s="408">
        <f aca="true" t="shared" si="20" ref="I134:I140">SUMIF($L$18:$L$133,$L134,I$18:I$133)</f>
        <v>-23312821.722071</v>
      </c>
      <c r="J134" s="408">
        <f>SUMIF($L$18:$L$114,$L134,J$18:J$114)</f>
        <v>620549.4758064523</v>
      </c>
      <c r="K134" s="408">
        <f aca="true" t="shared" si="21" ref="K134:K140">SUMIF($L$18:$L$133,$L134,K$18:K$133)</f>
        <v>307685359.4082415</v>
      </c>
      <c r="L134" s="409">
        <v>38533</v>
      </c>
      <c r="M134" s="410"/>
      <c r="N134" s="314" t="str">
        <f>N97</f>
        <v>7.3%&amp;7.01%</v>
      </c>
      <c r="O134" s="408">
        <f aca="true" t="shared" si="22" ref="O134:O140">SUMIF($L$18:$L$133,$L134,O$18:O$133)</f>
        <v>21421859.42707611</v>
      </c>
      <c r="P134" s="411">
        <f aca="true" t="shared" si="23" ref="P134:P140">O134/0.65</f>
        <v>32956706.81088632</v>
      </c>
      <c r="Q134" s="412">
        <f aca="true" t="shared" si="24" ref="Q134:Q140">P134/12</f>
        <v>2746392.234240527</v>
      </c>
    </row>
    <row r="135" spans="1:17" ht="12.75" hidden="1">
      <c r="A135" s="271">
        <f>ROW()</f>
        <v>135</v>
      </c>
      <c r="B135" s="406" t="s">
        <v>345</v>
      </c>
      <c r="C135" s="402"/>
      <c r="D135" s="402"/>
      <c r="E135" s="407">
        <v>38534</v>
      </c>
      <c r="F135" s="407"/>
      <c r="G135" s="407">
        <v>38898</v>
      </c>
      <c r="H135" s="278"/>
      <c r="I135" s="408">
        <f t="shared" si="20"/>
        <v>-24507562.335726786</v>
      </c>
      <c r="J135" s="408">
        <f aca="true" t="shared" si="25" ref="J135:J140">SUMIF($L$18:$L$131,$L135,J$18:J$131)</f>
        <v>635934.9999999994</v>
      </c>
      <c r="K135" s="408">
        <f t="shared" si="21"/>
        <v>277936545.3670526</v>
      </c>
      <c r="L135" s="409">
        <v>38898</v>
      </c>
      <c r="M135" s="410"/>
      <c r="N135" s="413">
        <f>$N$19</f>
        <v>0.07010000000000001</v>
      </c>
      <c r="O135" s="408">
        <f t="shared" si="22"/>
        <v>19483351.830230385</v>
      </c>
      <c r="P135" s="411">
        <f t="shared" si="23"/>
        <v>29974387.431123666</v>
      </c>
      <c r="Q135" s="412">
        <f t="shared" si="24"/>
        <v>2497865.6192603055</v>
      </c>
    </row>
    <row r="136" spans="1:17" ht="12.75" hidden="1">
      <c r="A136" s="271">
        <f>ROW()</f>
        <v>136</v>
      </c>
      <c r="B136" s="414" t="s">
        <v>346</v>
      </c>
      <c r="C136" s="415"/>
      <c r="D136" s="415"/>
      <c r="E136" s="416">
        <v>38899</v>
      </c>
      <c r="F136" s="416"/>
      <c r="G136" s="416">
        <v>39082</v>
      </c>
      <c r="H136" s="417"/>
      <c r="I136" s="418">
        <f t="shared" si="20"/>
        <v>-13730530.335291505</v>
      </c>
      <c r="J136" s="418">
        <f t="shared" si="25"/>
        <v>0</v>
      </c>
      <c r="K136" s="418">
        <f t="shared" si="21"/>
        <v>265779411.31623667</v>
      </c>
      <c r="L136" s="419">
        <v>39082</v>
      </c>
      <c r="M136" s="420"/>
      <c r="N136" s="421">
        <f>$N$19</f>
        <v>0.07010000000000001</v>
      </c>
      <c r="O136" s="418">
        <f t="shared" si="22"/>
        <v>18631136.733268194</v>
      </c>
      <c r="P136" s="422">
        <f t="shared" si="23"/>
        <v>28663287.281951066</v>
      </c>
      <c r="Q136" s="423">
        <f t="shared" si="24"/>
        <v>2388607.2734959223</v>
      </c>
    </row>
    <row r="137" spans="1:17" ht="12.75" hidden="1">
      <c r="A137" s="271">
        <f>ROW()</f>
        <v>137</v>
      </c>
      <c r="B137" s="406" t="s">
        <v>347</v>
      </c>
      <c r="C137" s="402"/>
      <c r="D137" s="402"/>
      <c r="E137" s="407">
        <v>39083</v>
      </c>
      <c r="F137" s="407"/>
      <c r="G137" s="407">
        <v>39447</v>
      </c>
      <c r="H137" s="278"/>
      <c r="I137" s="408">
        <f t="shared" si="20"/>
        <v>-29764119.15040191</v>
      </c>
      <c r="J137" s="408">
        <f t="shared" si="25"/>
        <v>0</v>
      </c>
      <c r="K137" s="408">
        <f t="shared" si="21"/>
        <v>236875709.96754804</v>
      </c>
      <c r="L137" s="340">
        <v>39447</v>
      </c>
      <c r="M137" s="300"/>
      <c r="N137" s="314" t="s">
        <v>310</v>
      </c>
      <c r="O137" s="408">
        <f t="shared" si="22"/>
        <v>16719531.276421757</v>
      </c>
      <c r="P137" s="411">
        <f t="shared" si="23"/>
        <v>25722355.809879627</v>
      </c>
      <c r="Q137" s="412">
        <f t="shared" si="24"/>
        <v>2143529.650823302</v>
      </c>
    </row>
    <row r="138" spans="1:17" ht="12.75">
      <c r="A138" s="271">
        <f>ROW()</f>
        <v>138</v>
      </c>
      <c r="B138" s="406" t="s">
        <v>348</v>
      </c>
      <c r="C138" s="402"/>
      <c r="D138" s="402"/>
      <c r="E138" s="407">
        <v>39448</v>
      </c>
      <c r="F138" s="407"/>
      <c r="G138" s="407">
        <v>39813</v>
      </c>
      <c r="H138" s="278"/>
      <c r="I138" s="408">
        <f t="shared" si="20"/>
        <v>-35249233.56060853</v>
      </c>
      <c r="J138" s="408">
        <f t="shared" si="25"/>
        <v>0</v>
      </c>
      <c r="K138" s="408">
        <f t="shared" si="21"/>
        <v>208492804.1908612</v>
      </c>
      <c r="L138" s="340">
        <v>39813</v>
      </c>
      <c r="M138" s="300"/>
      <c r="N138" s="314" t="str">
        <f>$N$22</f>
        <v>7.06%&amp;7.00%</v>
      </c>
      <c r="O138" s="408">
        <f t="shared" si="22"/>
        <v>14266440.110653022</v>
      </c>
      <c r="P138" s="411">
        <f t="shared" si="23"/>
        <v>21948369.40100465</v>
      </c>
      <c r="Q138" s="412">
        <f t="shared" si="24"/>
        <v>1829030.7834170542</v>
      </c>
    </row>
    <row r="139" spans="1:17" ht="12.75" hidden="1">
      <c r="A139" s="271">
        <f>ROW()</f>
        <v>139</v>
      </c>
      <c r="B139" s="406" t="s">
        <v>349</v>
      </c>
      <c r="C139" s="402"/>
      <c r="D139" s="402"/>
      <c r="E139" s="407">
        <v>39814</v>
      </c>
      <c r="F139" s="407"/>
      <c r="G139" s="407">
        <v>40178</v>
      </c>
      <c r="H139" s="278"/>
      <c r="I139" s="408">
        <f t="shared" si="20"/>
        <v>-42566092.71579602</v>
      </c>
      <c r="J139" s="408">
        <f t="shared" si="25"/>
        <v>0</v>
      </c>
      <c r="K139" s="408">
        <f t="shared" si="21"/>
        <v>170093114.73338678</v>
      </c>
      <c r="L139" s="340">
        <v>40178</v>
      </c>
      <c r="M139" s="300"/>
      <c r="N139" s="378">
        <f>$N$23</f>
        <v>0.07</v>
      </c>
      <c r="O139" s="408">
        <f t="shared" si="22"/>
        <v>11906518.031337077</v>
      </c>
      <c r="P139" s="411">
        <f t="shared" si="23"/>
        <v>18317720.048210885</v>
      </c>
      <c r="Q139" s="412">
        <f t="shared" si="24"/>
        <v>1526476.6706842405</v>
      </c>
    </row>
    <row r="140" spans="1:17" ht="12.75" hidden="1">
      <c r="A140" s="271">
        <f>ROW()</f>
        <v>140</v>
      </c>
      <c r="B140" s="406" t="s">
        <v>350</v>
      </c>
      <c r="C140" s="402"/>
      <c r="D140" s="402"/>
      <c r="E140" s="407">
        <v>40179</v>
      </c>
      <c r="F140" s="407"/>
      <c r="G140" s="407">
        <v>40543</v>
      </c>
      <c r="H140" s="278"/>
      <c r="I140" s="408">
        <f t="shared" si="20"/>
        <v>-47679637.61246269</v>
      </c>
      <c r="J140" s="408">
        <f t="shared" si="25"/>
        <v>0</v>
      </c>
      <c r="K140" s="408">
        <f t="shared" si="21"/>
        <v>128856279.80030218</v>
      </c>
      <c r="L140" s="340">
        <v>40543</v>
      </c>
      <c r="M140" s="300"/>
      <c r="N140" s="378">
        <f>$N$23</f>
        <v>0.07</v>
      </c>
      <c r="O140" s="408">
        <f t="shared" si="22"/>
        <v>9019939.586021153</v>
      </c>
      <c r="P140" s="411">
        <f t="shared" si="23"/>
        <v>13876830.132340236</v>
      </c>
      <c r="Q140" s="412">
        <f t="shared" si="24"/>
        <v>1156402.511028353</v>
      </c>
    </row>
    <row r="141" spans="1:17" ht="12.75">
      <c r="A141" s="271">
        <f>ROW()</f>
        <v>141</v>
      </c>
      <c r="B141" s="424"/>
      <c r="C141" s="402"/>
      <c r="D141" s="402"/>
      <c r="E141" s="403"/>
      <c r="F141" s="403"/>
      <c r="G141" s="403"/>
      <c r="H141" s="278"/>
      <c r="I141" s="408">
        <f>SUMIF($L$18:$L$103,$L141,I$18:I$103)</f>
        <v>0</v>
      </c>
      <c r="J141" s="408">
        <f>SUMIF($L$18:$L$103,$L141,J$18:J$103)</f>
        <v>0</v>
      </c>
      <c r="K141" s="408">
        <f>SUMIF($L$18:$L$103,$L141,K$18:K$103)</f>
        <v>0</v>
      </c>
      <c r="L141" s="425"/>
      <c r="M141" s="300"/>
      <c r="N141" s="426"/>
      <c r="O141" s="427"/>
      <c r="P141" s="427"/>
      <c r="Q141" s="428"/>
    </row>
    <row r="142" spans="1:16" ht="12.75">
      <c r="A142" s="271">
        <f>ROW()</f>
        <v>142</v>
      </c>
      <c r="B142" s="429"/>
      <c r="C142" s="386"/>
      <c r="D142" s="386"/>
      <c r="E142" s="387"/>
      <c r="F142" s="387"/>
      <c r="G142" s="387"/>
      <c r="H142" s="388"/>
      <c r="I142" s="389"/>
      <c r="J142" s="430"/>
      <c r="K142" s="389"/>
      <c r="L142" s="390"/>
      <c r="M142" s="391"/>
      <c r="N142" s="431"/>
      <c r="O142" s="389"/>
      <c r="P142" s="389"/>
    </row>
    <row r="143" spans="1:2" ht="12.75">
      <c r="A143" s="271">
        <f>ROW()</f>
        <v>143</v>
      </c>
      <c r="B143" s="432" t="s">
        <v>351</v>
      </c>
    </row>
    <row r="144" spans="1:2" ht="12.75">
      <c r="A144" s="271">
        <f>ROW()</f>
        <v>144</v>
      </c>
      <c r="B144" s="432"/>
    </row>
    <row r="145" spans="1:2" ht="12.75">
      <c r="A145" s="271">
        <f>ROW()</f>
        <v>145</v>
      </c>
      <c r="B145" s="432" t="s">
        <v>352</v>
      </c>
    </row>
    <row r="146" spans="1:2" ht="12.75">
      <c r="A146" s="271">
        <f>ROW()</f>
        <v>146</v>
      </c>
      <c r="B146" s="433" t="s">
        <v>353</v>
      </c>
    </row>
    <row r="147" spans="1:2" ht="12.75">
      <c r="A147" s="271">
        <f>ROW()</f>
        <v>147</v>
      </c>
      <c r="B147" s="433" t="s">
        <v>354</v>
      </c>
    </row>
    <row r="148" spans="1:2" ht="12.75">
      <c r="A148" s="271">
        <f>ROW()</f>
        <v>148</v>
      </c>
      <c r="B148" s="433" t="s">
        <v>355</v>
      </c>
    </row>
    <row r="149" spans="1:2" ht="12.75">
      <c r="A149" s="271">
        <f>ROW()</f>
        <v>149</v>
      </c>
      <c r="B149" s="433" t="s">
        <v>356</v>
      </c>
    </row>
    <row r="206" ht="12.75"/>
    <row r="207" ht="12.75"/>
    <row r="208" ht="12.75"/>
    <row r="209" ht="12.75"/>
    <row r="210" ht="12.75"/>
    <row r="211" ht="12.75"/>
    <row r="212" ht="12.75"/>
  </sheetData>
  <sheetProtection/>
  <printOptions horizontalCentered="1"/>
  <pageMargins left="0.25" right="0.25" top="0.19" bottom="0.24" header="0.16" footer="0.17"/>
  <pageSetup cellComments="asDisplayed" firstPageNumber="7" useFirstPageNumber="1" fitToHeight="0" horizontalDpi="600" verticalDpi="600" orientation="landscape" scale="9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miov</dc:creator>
  <cp:keywords/>
  <dc:description/>
  <cp:lastModifiedBy>Jason</cp:lastModifiedBy>
  <cp:lastPrinted>2009-04-30T05:46:24Z</cp:lastPrinted>
  <dcterms:created xsi:type="dcterms:W3CDTF">2009-04-28T21:23:05Z</dcterms:created>
  <dcterms:modified xsi:type="dcterms:W3CDTF">2009-04-30T05:46:54Z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090705</vt:lpwstr>
  </property>
  <property fmtid="{D5CDD505-2E9C-101B-9397-08002B2CF9AE}" pid="6" name="IsConfidenti">
    <vt:lpwstr>0</vt:lpwstr>
  </property>
  <property fmtid="{D5CDD505-2E9C-101B-9397-08002B2CF9AE}" pid="7" name="Dat">
    <vt:lpwstr>2009-05-08T00:00:00Z</vt:lpwstr>
  </property>
  <property fmtid="{D5CDD505-2E9C-101B-9397-08002B2CF9AE}" pid="8" name="CaseTy">
    <vt:lpwstr>Tariff Revision</vt:lpwstr>
  </property>
  <property fmtid="{D5CDD505-2E9C-101B-9397-08002B2CF9AE}" pid="9" name="OpenedDa">
    <vt:lpwstr>2009-05-08T00:00:00Z</vt:lpwstr>
  </property>
  <property fmtid="{D5CDD505-2E9C-101B-9397-08002B2CF9AE}" pid="10" name="Pref">
    <vt:lpwstr>UG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150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