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lexis_dunkin_utc_wa_gov/Documents/Local Computer Files/Downloads/"/>
    </mc:Choice>
  </mc:AlternateContent>
  <xr:revisionPtr revIDLastSave="0" documentId="8_{FD822C2C-1CCB-4A97-B3EC-BAAC8C62B488}" xr6:coauthVersionLast="47" xr6:coauthVersionMax="47" xr10:uidLastSave="{00000000-0000-0000-0000-000000000000}"/>
  <bookViews>
    <workbookView xWindow="19720" yWindow="1790" windowWidth="14400" windowHeight="7440" xr2:uid="{00000000-000D-0000-FFFF-FFFF00000000}"/>
  </bookViews>
  <sheets>
    <sheet name="Exh JDT-14" sheetId="4" r:id="rId1"/>
    <sheet name="Maps Analysis" sheetId="3" r:id="rId2"/>
  </sheets>
  <externalReferences>
    <externalReference r:id="rId3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OFFSET(Full_Print,0,0,Last_Row)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A3" i="3"/>
  <c r="A4" i="3"/>
  <c r="A6" i="3"/>
  <c r="A1" i="3"/>
  <c r="F18" i="3"/>
  <c r="C20" i="4" l="1"/>
  <c r="C22" i="4" s="1"/>
  <c r="D20" i="4"/>
  <c r="D22" i="4" s="1"/>
  <c r="B20" i="4"/>
  <c r="B22" i="4" s="1"/>
  <c r="F20" i="3"/>
  <c r="E15" i="3"/>
  <c r="F15" i="3"/>
  <c r="E14" i="3"/>
  <c r="D24" i="4" l="1"/>
  <c r="D26" i="4" s="1"/>
  <c r="D30" i="4" s="1"/>
  <c r="F14" i="3"/>
  <c r="H14" i="3" s="1"/>
  <c r="K14" i="3" s="1"/>
  <c r="C14" i="3"/>
  <c r="F23" i="3"/>
  <c r="D22" i="3"/>
  <c r="F22" i="3"/>
  <c r="I22" i="3" s="1"/>
  <c r="L22" i="3" s="1"/>
  <c r="E21" i="3"/>
  <c r="E24" i="3" s="1"/>
  <c r="D21" i="3"/>
  <c r="D24" i="3" s="1"/>
  <c r="F21" i="3"/>
  <c r="F19" i="3"/>
  <c r="I19" i="3" s="1"/>
  <c r="L19" i="3" s="1"/>
  <c r="F17" i="3"/>
  <c r="I17" i="3" s="1"/>
  <c r="L17" i="3" s="1"/>
  <c r="F16" i="3"/>
  <c r="H16" i="3" s="1"/>
  <c r="K16" i="3" s="1"/>
  <c r="L27" i="3"/>
  <c r="G23" i="3"/>
  <c r="J23" i="3" s="1"/>
  <c r="G20" i="3"/>
  <c r="J20" i="3" s="1"/>
  <c r="I18" i="3"/>
  <c r="L18" i="3" s="1"/>
  <c r="H15" i="3"/>
  <c r="K15" i="3" s="1"/>
  <c r="G15" i="3"/>
  <c r="J15" i="3" s="1"/>
  <c r="I14" i="3"/>
  <c r="L14" i="3" s="1"/>
  <c r="H13" i="3"/>
  <c r="K13" i="3" s="1"/>
  <c r="G13" i="3"/>
  <c r="J13" i="3" s="1"/>
  <c r="G22" i="3" l="1"/>
  <c r="J22" i="3" s="1"/>
  <c r="H22" i="3"/>
  <c r="K22" i="3" s="1"/>
  <c r="G14" i="3"/>
  <c r="J14" i="3" s="1"/>
  <c r="I21" i="3"/>
  <c r="L21" i="3" s="1"/>
  <c r="H21" i="3"/>
  <c r="K21" i="3" s="1"/>
  <c r="G19" i="3"/>
  <c r="J19" i="3" s="1"/>
  <c r="H18" i="3"/>
  <c r="K18" i="3" s="1"/>
  <c r="G18" i="3"/>
  <c r="J18" i="3" s="1"/>
  <c r="I16" i="3"/>
  <c r="L16" i="3" s="1"/>
  <c r="H20" i="3"/>
  <c r="K20" i="3" s="1"/>
  <c r="H23" i="3"/>
  <c r="K23" i="3" s="1"/>
  <c r="I23" i="3"/>
  <c r="L23" i="3" s="1"/>
  <c r="H19" i="3"/>
  <c r="K19" i="3" s="1"/>
  <c r="I13" i="3"/>
  <c r="L13" i="3" s="1"/>
  <c r="G17" i="3"/>
  <c r="J17" i="3" s="1"/>
  <c r="I20" i="3"/>
  <c r="L20" i="3" s="1"/>
  <c r="C24" i="3"/>
  <c r="H17" i="3"/>
  <c r="K17" i="3" s="1"/>
  <c r="I15" i="3"/>
  <c r="L15" i="3" s="1"/>
  <c r="G16" i="3"/>
  <c r="J16" i="3" s="1"/>
  <c r="G21" i="3"/>
  <c r="J21" i="3" s="1"/>
  <c r="L24" i="3" l="1"/>
  <c r="L25" i="3" s="1"/>
  <c r="K24" i="3"/>
  <c r="K25" i="3" s="1"/>
  <c r="J24" i="3"/>
  <c r="J25" i="3" s="1"/>
  <c r="L29" i="3" l="1"/>
</calcChain>
</file>

<file path=xl/sharedStrings.xml><?xml version="1.0" encoding="utf-8"?>
<sst xmlns="http://schemas.openxmlformats.org/spreadsheetml/2006/main" count="41" uniqueCount="29">
  <si>
    <t>4"</t>
  </si>
  <si>
    <t>6"</t>
  </si>
  <si>
    <t>8"</t>
  </si>
  <si>
    <t>Replacement Cost per Foot</t>
  </si>
  <si>
    <t>Size</t>
  </si>
  <si>
    <t>Total</t>
  </si>
  <si>
    <t>Cost</t>
  </si>
  <si>
    <t>Ft per Mile</t>
  </si>
  <si>
    <t>Scale (in. per mile)</t>
  </si>
  <si>
    <t>Total Costs for 12 - 20"</t>
  </si>
  <si>
    <t>Total Cost</t>
  </si>
  <si>
    <t>10-14</t>
  </si>
  <si>
    <t>Total Feet</t>
  </si>
  <si>
    <t>Cost per Foot</t>
  </si>
  <si>
    <t>Total 4" - 8" Replacement Cost</t>
  </si>
  <si>
    <t>12" - 20" Replacement Cost</t>
  </si>
  <si>
    <t>Total Replacement Cost</t>
  </si>
  <si>
    <t>4" - 8" Replacement Cost</t>
  </si>
  <si>
    <t>Customer #</t>
  </si>
  <si>
    <t>AWEC Calculated Replacement Cost</t>
  </si>
  <si>
    <t>Difference</t>
  </si>
  <si>
    <t>Distribution Mains in Feet</t>
  </si>
  <si>
    <t>Calculation of Distribution Main Replacement Costs serving 87/87T</t>
  </si>
  <si>
    <t>Measurement in Inches</t>
  </si>
  <si>
    <t>Calculated Miles</t>
  </si>
  <si>
    <t>Calculated Feet of Pipe</t>
  </si>
  <si>
    <t>Puget Sound Energy</t>
  </si>
  <si>
    <t xml:space="preserve">2024 General Rate Case </t>
  </si>
  <si>
    <t>PSE's Response to AWEC Data Request No. 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</si>
</sst>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6" fontId="3" fillId="0" borderId="0" xfId="0" quotePrefix="1" applyNumberFormat="1" applyFont="1" applyAlignment="1">
      <alignment horizontal="right"/>
    </xf>
    <xf numFmtId="166" fontId="3" fillId="0" borderId="0" xfId="2" applyNumberFormat="1" applyFont="1"/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horizontal="center" wrapText="1"/>
    </xf>
    <xf numFmtId="165" fontId="3" fillId="0" borderId="0" xfId="1" applyNumberFormat="1" applyFont="1" applyBorder="1"/>
    <xf numFmtId="0" fontId="3" fillId="0" borderId="7" xfId="0" applyFont="1" applyBorder="1"/>
    <xf numFmtId="166" fontId="3" fillId="0" borderId="0" xfId="2" applyNumberFormat="1" applyFont="1" applyBorder="1"/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5" fontId="3" fillId="0" borderId="10" xfId="1" applyNumberFormat="1" applyFont="1" applyFill="1" applyBorder="1"/>
    <xf numFmtId="165" fontId="3" fillId="0" borderId="0" xfId="1" applyNumberFormat="1" applyFont="1" applyFill="1" applyBorder="1"/>
    <xf numFmtId="165" fontId="3" fillId="0" borderId="3" xfId="1" applyNumberFormat="1" applyFont="1" applyFill="1" applyBorder="1"/>
    <xf numFmtId="166" fontId="3" fillId="0" borderId="0" xfId="2" applyNumberFormat="1" applyFont="1" applyFill="1" applyBorder="1"/>
    <xf numFmtId="166" fontId="3" fillId="0" borderId="2" xfId="2" applyNumberFormat="1" applyFont="1" applyFill="1" applyBorder="1"/>
    <xf numFmtId="166" fontId="3" fillId="2" borderId="0" xfId="2" applyNumberFormat="1" applyFont="1" applyFill="1" applyBorder="1"/>
    <xf numFmtId="166" fontId="3" fillId="2" borderId="3" xfId="2" applyNumberFormat="1" applyFont="1" applyFill="1" applyBorder="1"/>
    <xf numFmtId="166" fontId="3" fillId="0" borderId="3" xfId="2" applyNumberFormat="1" applyFont="1" applyFill="1" applyBorder="1"/>
    <xf numFmtId="165" fontId="3" fillId="0" borderId="14" xfId="1" applyNumberFormat="1" applyFont="1" applyFill="1" applyBorder="1"/>
    <xf numFmtId="165" fontId="3" fillId="0" borderId="15" xfId="1" applyNumberFormat="1" applyFont="1" applyFill="1" applyBorder="1"/>
    <xf numFmtId="164" fontId="3" fillId="0" borderId="15" xfId="1" applyNumberFormat="1" applyFont="1" applyFill="1" applyBorder="1"/>
    <xf numFmtId="165" fontId="3" fillId="0" borderId="30" xfId="0" applyNumberFormat="1" applyFont="1" applyBorder="1"/>
    <xf numFmtId="165" fontId="3" fillId="0" borderId="15" xfId="0" applyNumberFormat="1" applyFont="1" applyBorder="1"/>
    <xf numFmtId="165" fontId="3" fillId="0" borderId="16" xfId="0" applyNumberFormat="1" applyFont="1" applyBorder="1"/>
    <xf numFmtId="165" fontId="3" fillId="0" borderId="17" xfId="1" applyNumberFormat="1" applyFont="1" applyFill="1" applyBorder="1"/>
    <xf numFmtId="164" fontId="3" fillId="0" borderId="0" xfId="1" applyNumberFormat="1" applyFont="1" applyFill="1" applyBorder="1"/>
    <xf numFmtId="165" fontId="3" fillId="0" borderId="5" xfId="0" applyNumberFormat="1" applyFont="1" applyBorder="1"/>
    <xf numFmtId="165" fontId="3" fillId="0" borderId="0" xfId="0" applyNumberFormat="1" applyFont="1"/>
    <xf numFmtId="165" fontId="3" fillId="0" borderId="18" xfId="0" applyNumberFormat="1" applyFont="1" applyBorder="1"/>
    <xf numFmtId="165" fontId="3" fillId="0" borderId="19" xfId="1" applyNumberFormat="1" applyFont="1" applyFill="1" applyBorder="1"/>
    <xf numFmtId="165" fontId="3" fillId="0" borderId="1" xfId="1" applyNumberFormat="1" applyFont="1" applyFill="1" applyBorder="1"/>
    <xf numFmtId="165" fontId="3" fillId="0" borderId="21" xfId="1" applyNumberFormat="1" applyFont="1" applyFill="1" applyBorder="1"/>
    <xf numFmtId="165" fontId="3" fillId="0" borderId="22" xfId="1" applyNumberFormat="1" applyFont="1" applyFill="1" applyBorder="1"/>
    <xf numFmtId="165" fontId="3" fillId="0" borderId="8" xfId="1" applyNumberFormat="1" applyFont="1" applyFill="1" applyBorder="1"/>
    <xf numFmtId="165" fontId="3" fillId="0" borderId="20" xfId="1" applyNumberFormat="1" applyFont="1" applyFill="1" applyBorder="1"/>
    <xf numFmtId="166" fontId="3" fillId="0" borderId="23" xfId="2" applyNumberFormat="1" applyFont="1" applyFill="1" applyBorder="1"/>
    <xf numFmtId="166" fontId="3" fillId="0" borderId="24" xfId="2" applyNumberFormat="1" applyFont="1" applyFill="1" applyBorder="1"/>
    <xf numFmtId="0" fontId="3" fillId="0" borderId="17" xfId="0" applyFont="1" applyBorder="1"/>
    <xf numFmtId="0" fontId="3" fillId="0" borderId="18" xfId="0" applyFont="1" applyBorder="1"/>
    <xf numFmtId="0" fontId="3" fillId="0" borderId="25" xfId="0" applyFont="1" applyBorder="1"/>
    <xf numFmtId="0" fontId="3" fillId="0" borderId="26" xfId="0" applyFont="1" applyBorder="1"/>
    <xf numFmtId="166" fontId="3" fillId="0" borderId="27" xfId="2" applyNumberFormat="1" applyFont="1" applyFill="1" applyBorder="1"/>
    <xf numFmtId="166" fontId="3" fillId="0" borderId="28" xfId="0" applyNumberFormat="1" applyFont="1" applyBorder="1"/>
    <xf numFmtId="166" fontId="3" fillId="0" borderId="31" xfId="2" applyNumberFormat="1" applyFont="1" applyFill="1" applyBorder="1"/>
    <xf numFmtId="166" fontId="3" fillId="0" borderId="32" xfId="2" applyNumberFormat="1" applyFont="1" applyFill="1" applyBorder="1"/>
    <xf numFmtId="166" fontId="3" fillId="0" borderId="33" xfId="2" applyNumberFormat="1" applyFont="1" applyFill="1" applyBorder="1"/>
    <xf numFmtId="0" fontId="3" fillId="0" borderId="28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showGridLines="0" tabSelected="1" workbookViewId="0">
      <pane ySplit="9" topLeftCell="A10" activePane="bottomLeft" state="frozen"/>
      <selection pane="bottomLeft" activeCell="A6" sqref="A6"/>
    </sheetView>
  </sheetViews>
  <sheetFormatPr defaultColWidth="9.140625" defaultRowHeight="11.25" x14ac:dyDescent="0.2"/>
  <cols>
    <col min="1" max="1" width="32.7109375" style="4" bestFit="1" customWidth="1"/>
    <col min="2" max="3" width="14.28515625" style="1" bestFit="1" customWidth="1"/>
    <col min="4" max="4" width="15.28515625" style="1" bestFit="1" customWidth="1"/>
    <col min="5" max="16384" width="9.140625" style="1"/>
  </cols>
  <sheetData>
    <row r="1" spans="1:5" x14ac:dyDescent="0.2">
      <c r="A1" s="65" t="s">
        <v>26</v>
      </c>
      <c r="B1" s="66"/>
      <c r="C1" s="66"/>
      <c r="D1" s="66"/>
    </row>
    <row r="2" spans="1:5" x14ac:dyDescent="0.2">
      <c r="A2" s="65" t="s">
        <v>27</v>
      </c>
      <c r="B2" s="66"/>
      <c r="C2" s="66"/>
      <c r="D2" s="66"/>
    </row>
    <row r="3" spans="1:5" x14ac:dyDescent="0.2">
      <c r="A3" s="65" t="s">
        <v>28</v>
      </c>
      <c r="B3" s="66"/>
      <c r="C3" s="66"/>
      <c r="D3" s="66"/>
    </row>
    <row r="4" spans="1:5" x14ac:dyDescent="0.2">
      <c r="A4" s="64" t="s">
        <v>22</v>
      </c>
      <c r="B4" s="64"/>
      <c r="C4" s="64"/>
      <c r="D4" s="64"/>
      <c r="E4" s="64"/>
    </row>
    <row r="5" spans="1:5" x14ac:dyDescent="0.2">
      <c r="A5" s="2"/>
      <c r="B5" s="2"/>
      <c r="C5" s="2"/>
      <c r="D5" s="2"/>
      <c r="E5" s="2"/>
    </row>
    <row r="6" spans="1:5" x14ac:dyDescent="0.2">
      <c r="A6" s="3"/>
      <c r="B6" s="2"/>
      <c r="C6" s="2"/>
      <c r="D6" s="2"/>
      <c r="E6" s="2"/>
    </row>
    <row r="8" spans="1:5" x14ac:dyDescent="0.2">
      <c r="B8" s="63" t="s">
        <v>21</v>
      </c>
      <c r="C8" s="63"/>
      <c r="D8" s="63"/>
    </row>
    <row r="9" spans="1:5" x14ac:dyDescent="0.2">
      <c r="A9" s="5" t="s">
        <v>18</v>
      </c>
      <c r="B9" s="6" t="s">
        <v>0</v>
      </c>
      <c r="C9" s="6" t="s">
        <v>1</v>
      </c>
      <c r="D9" s="6" t="s">
        <v>2</v>
      </c>
    </row>
    <row r="10" spans="1:5" x14ac:dyDescent="0.2">
      <c r="A10" s="4">
        <v>1</v>
      </c>
      <c r="B10" s="26">
        <v>12278.75</v>
      </c>
      <c r="C10" s="26">
        <v>0</v>
      </c>
      <c r="D10" s="26">
        <v>2378.75</v>
      </c>
    </row>
    <row r="11" spans="1:5" x14ac:dyDescent="0.2">
      <c r="A11" s="4">
        <v>2</v>
      </c>
      <c r="B11" s="26">
        <v>3485.5745721271396</v>
      </c>
      <c r="C11" s="26">
        <v>0</v>
      </c>
      <c r="D11" s="26">
        <v>32222.200488997558</v>
      </c>
    </row>
    <row r="12" spans="1:5" x14ac:dyDescent="0.2">
      <c r="A12" s="4">
        <v>4</v>
      </c>
      <c r="B12" s="26">
        <v>0</v>
      </c>
      <c r="C12" s="26">
        <v>0</v>
      </c>
      <c r="D12" s="26">
        <v>55302.658959537577</v>
      </c>
    </row>
    <row r="13" spans="1:5" x14ac:dyDescent="0.2">
      <c r="A13" s="4">
        <v>5</v>
      </c>
      <c r="B13" s="26">
        <v>0</v>
      </c>
      <c r="C13" s="26">
        <v>0</v>
      </c>
      <c r="D13" s="26">
        <v>8643.7065637065643</v>
      </c>
    </row>
    <row r="14" spans="1:5" x14ac:dyDescent="0.2">
      <c r="A14" s="4">
        <v>7</v>
      </c>
      <c r="B14" s="26">
        <v>1495.2212389380534</v>
      </c>
      <c r="C14" s="26">
        <v>1261.5929203539824</v>
      </c>
      <c r="D14" s="26">
        <v>513.98230088495586</v>
      </c>
    </row>
    <row r="15" spans="1:5" x14ac:dyDescent="0.2">
      <c r="A15" s="4">
        <v>6</v>
      </c>
      <c r="B15" s="26">
        <v>0</v>
      </c>
      <c r="C15" s="26">
        <v>0</v>
      </c>
      <c r="D15" s="26">
        <v>8737.69911504425</v>
      </c>
    </row>
    <row r="16" spans="1:5" x14ac:dyDescent="0.2">
      <c r="A16" s="4">
        <v>8</v>
      </c>
      <c r="B16" s="26">
        <v>18057.280966767372</v>
      </c>
      <c r="C16" s="26">
        <v>0</v>
      </c>
      <c r="D16" s="26">
        <v>0</v>
      </c>
    </row>
    <row r="17" spans="1:4" x14ac:dyDescent="0.2">
      <c r="A17" s="4">
        <v>3</v>
      </c>
      <c r="B17" s="26">
        <v>0</v>
      </c>
      <c r="C17" s="26">
        <v>0</v>
      </c>
      <c r="D17" s="26">
        <v>0</v>
      </c>
    </row>
    <row r="18" spans="1:4" x14ac:dyDescent="0.2">
      <c r="A18" s="4">
        <v>9</v>
      </c>
      <c r="B18" s="26">
        <v>0</v>
      </c>
      <c r="C18" s="26">
        <v>31185</v>
      </c>
      <c r="D18" s="26">
        <v>5011.875</v>
      </c>
    </row>
    <row r="19" spans="1:4" x14ac:dyDescent="0.2">
      <c r="A19" s="8" t="s">
        <v>11</v>
      </c>
      <c r="B19" s="26">
        <v>0</v>
      </c>
      <c r="C19" s="26">
        <v>20974.845360824744</v>
      </c>
      <c r="D19" s="26">
        <v>6096.494845360824</v>
      </c>
    </row>
    <row r="20" spans="1:4" ht="12" thickBot="1" x14ac:dyDescent="0.25">
      <c r="A20" s="4" t="s">
        <v>12</v>
      </c>
      <c r="B20" s="27">
        <f>SUM(B10:B19)</f>
        <v>35316.826777832568</v>
      </c>
      <c r="C20" s="27">
        <f>SUM(C10:C19)</f>
        <v>53421.438281178722</v>
      </c>
      <c r="D20" s="27">
        <f>SUM(D10:D19)</f>
        <v>118907.36727353172</v>
      </c>
    </row>
    <row r="21" spans="1:4" ht="12" thickTop="1" x14ac:dyDescent="0.2">
      <c r="A21" s="4" t="s">
        <v>13</v>
      </c>
      <c r="B21" s="28">
        <v>106</v>
      </c>
      <c r="C21" s="28">
        <v>178</v>
      </c>
      <c r="D21" s="28">
        <v>364</v>
      </c>
    </row>
    <row r="22" spans="1:4" ht="12" thickBot="1" x14ac:dyDescent="0.25">
      <c r="A22" s="4" t="s">
        <v>17</v>
      </c>
      <c r="B22" s="32">
        <f>B20*B21</f>
        <v>3743583.6384502524</v>
      </c>
      <c r="C22" s="32">
        <f t="shared" ref="C22:D22" si="0">C20*C21</f>
        <v>9509016.0140498132</v>
      </c>
      <c r="D22" s="32">
        <f t="shared" si="0"/>
        <v>43282281.68756555</v>
      </c>
    </row>
    <row r="23" spans="1:4" ht="12" thickTop="1" x14ac:dyDescent="0.2">
      <c r="B23" s="7"/>
      <c r="C23" s="7"/>
      <c r="D23" s="7"/>
    </row>
    <row r="24" spans="1:4" x14ac:dyDescent="0.2">
      <c r="A24" s="4" t="s">
        <v>14</v>
      </c>
      <c r="B24" s="7"/>
      <c r="C24" s="7"/>
      <c r="D24" s="30">
        <f>SUM(B22:D22)</f>
        <v>56534881.340065613</v>
      </c>
    </row>
    <row r="25" spans="1:4" x14ac:dyDescent="0.2">
      <c r="A25" s="4" t="s">
        <v>15</v>
      </c>
      <c r="B25" s="7"/>
      <c r="C25" s="7"/>
      <c r="D25" s="30">
        <v>27441911</v>
      </c>
    </row>
    <row r="26" spans="1:4" ht="12" thickBot="1" x14ac:dyDescent="0.25">
      <c r="A26" s="4" t="s">
        <v>16</v>
      </c>
      <c r="B26" s="7"/>
      <c r="C26" s="7"/>
      <c r="D26" s="31">
        <f>SUM(D24:D25)</f>
        <v>83976792.340065613</v>
      </c>
    </row>
    <row r="27" spans="1:4" ht="12" thickTop="1" x14ac:dyDescent="0.2">
      <c r="B27" s="7"/>
      <c r="C27" s="7"/>
      <c r="D27" s="18"/>
    </row>
    <row r="28" spans="1:4" x14ac:dyDescent="0.2">
      <c r="A28" s="4" t="s">
        <v>19</v>
      </c>
      <c r="B28" s="7"/>
      <c r="C28" s="7"/>
      <c r="D28" s="30">
        <v>43107733</v>
      </c>
    </row>
    <row r="29" spans="1:4" x14ac:dyDescent="0.2">
      <c r="D29" s="18"/>
    </row>
    <row r="30" spans="1:4" ht="12" thickBot="1" x14ac:dyDescent="0.25">
      <c r="A30" s="4" t="s">
        <v>20</v>
      </c>
      <c r="D30" s="31">
        <f>D26-D28</f>
        <v>40869059.340065613</v>
      </c>
    </row>
    <row r="31" spans="1:4" ht="12" thickTop="1" x14ac:dyDescent="0.2"/>
    <row r="34" spans="1:4" x14ac:dyDescent="0.2">
      <c r="A34" s="62"/>
      <c r="B34" s="62"/>
      <c r="C34" s="62"/>
      <c r="D34" s="62"/>
    </row>
  </sheetData>
  <mergeCells count="6">
    <mergeCell ref="A34:D34"/>
    <mergeCell ref="B8:D8"/>
    <mergeCell ref="A4:E4"/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topLeftCell="E1" workbookViewId="0">
      <pane ySplit="11" topLeftCell="A12" activePane="bottomLeft" state="frozen"/>
      <selection pane="bottomLeft" activeCell="M9" sqref="M9"/>
    </sheetView>
  </sheetViews>
  <sheetFormatPr defaultColWidth="9.140625" defaultRowHeight="11.25" x14ac:dyDescent="0.2"/>
  <cols>
    <col min="1" max="1" width="2.7109375" style="1" customWidth="1"/>
    <col min="2" max="2" width="8.85546875" style="1" bestFit="1" customWidth="1"/>
    <col min="3" max="5" width="9.5703125" style="1" bestFit="1" customWidth="1"/>
    <col min="6" max="6" width="17.85546875" style="1" bestFit="1" customWidth="1"/>
    <col min="7" max="7" width="9.28515625" style="1" bestFit="1" customWidth="1"/>
    <col min="8" max="9" width="14.42578125" style="1" bestFit="1" customWidth="1"/>
    <col min="10" max="10" width="15.42578125" style="1" bestFit="1" customWidth="1"/>
    <col min="11" max="11" width="12.7109375" style="1" bestFit="1" customWidth="1"/>
    <col min="12" max="12" width="15.42578125" style="1" bestFit="1" customWidth="1"/>
    <col min="13" max="13" width="7.28515625" style="10" customWidth="1"/>
    <col min="14" max="14" width="1.28515625" style="1" customWidth="1"/>
    <col min="15" max="15" width="4.28515625" style="1" bestFit="1" customWidth="1"/>
    <col min="16" max="16" width="26.28515625" style="1" bestFit="1" customWidth="1"/>
    <col min="17" max="16384" width="9.140625" style="1"/>
  </cols>
  <sheetData>
    <row r="1" spans="1:16" ht="15" customHeight="1" x14ac:dyDescent="0.2">
      <c r="A1" s="65" t="str">
        <f>'Exh JDT-14'!A1</f>
        <v>Puget Sound Energy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x14ac:dyDescent="0.2">
      <c r="A2" s="65" t="str">
        <f>'Exh JDT-14'!A2</f>
        <v xml:space="preserve">2024 General Rate Case 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x14ac:dyDescent="0.2">
      <c r="A3" s="65" t="str">
        <f>'Exh JDT-14'!A3</f>
        <v>PSE's Response to AWEC Data Request No. 073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x14ac:dyDescent="0.2">
      <c r="A4" s="65" t="str">
        <f>'Exh JDT-14'!A4</f>
        <v>Calculation of Distribution Main Replacement Costs serving 87/87T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x14ac:dyDescent="0.2">
      <c r="A5" s="3"/>
    </row>
    <row r="6" spans="1:16" x14ac:dyDescent="0.2">
      <c r="A6" s="65">
        <f>'Exh JDT-14'!A6</f>
        <v>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9" spans="1:16" x14ac:dyDescent="0.2">
      <c r="L9" s="4" t="s">
        <v>7</v>
      </c>
      <c r="M9" s="61">
        <v>5280</v>
      </c>
    </row>
    <row r="10" spans="1:16" ht="12" thickBot="1" x14ac:dyDescent="0.25"/>
    <row r="11" spans="1:16" x14ac:dyDescent="0.2">
      <c r="C11" s="67" t="s">
        <v>23</v>
      </c>
      <c r="D11" s="68"/>
      <c r="E11" s="69"/>
      <c r="F11" s="20" t="s">
        <v>8</v>
      </c>
      <c r="G11" s="67" t="s">
        <v>24</v>
      </c>
      <c r="H11" s="68"/>
      <c r="I11" s="68"/>
      <c r="J11" s="70" t="s">
        <v>25</v>
      </c>
      <c r="K11" s="71"/>
      <c r="L11" s="72"/>
      <c r="O11" s="11" t="s">
        <v>4</v>
      </c>
      <c r="P11" s="12" t="s">
        <v>3</v>
      </c>
    </row>
    <row r="12" spans="1:16" ht="12" thickBot="1" x14ac:dyDescent="0.25">
      <c r="A12" s="15"/>
      <c r="B12" s="15" t="s">
        <v>18</v>
      </c>
      <c r="C12" s="21" t="s">
        <v>0</v>
      </c>
      <c r="D12" s="13" t="s">
        <v>1</v>
      </c>
      <c r="E12" s="22" t="s">
        <v>2</v>
      </c>
      <c r="F12" s="13"/>
      <c r="G12" s="21" t="s">
        <v>0</v>
      </c>
      <c r="H12" s="13" t="s">
        <v>1</v>
      </c>
      <c r="I12" s="13" t="s">
        <v>2</v>
      </c>
      <c r="J12" s="24" t="s">
        <v>0</v>
      </c>
      <c r="K12" s="13" t="s">
        <v>1</v>
      </c>
      <c r="L12" s="23" t="s">
        <v>2</v>
      </c>
      <c r="O12" s="14">
        <v>4</v>
      </c>
      <c r="P12" s="58">
        <v>106</v>
      </c>
    </row>
    <row r="13" spans="1:16" ht="12" thickTop="1" x14ac:dyDescent="0.2">
      <c r="A13" s="4"/>
      <c r="B13" s="4">
        <v>1</v>
      </c>
      <c r="C13" s="33">
        <v>8.93</v>
      </c>
      <c r="D13" s="34"/>
      <c r="E13" s="34">
        <v>1.73</v>
      </c>
      <c r="F13" s="35">
        <v>3.84</v>
      </c>
      <c r="G13" s="34">
        <f>C13/$F13</f>
        <v>2.3255208333333335</v>
      </c>
      <c r="H13" s="34">
        <f>D13/$F13</f>
        <v>0</v>
      </c>
      <c r="I13" s="34">
        <f>E13/$F13</f>
        <v>0.45052083333333337</v>
      </c>
      <c r="J13" s="36">
        <f t="shared" ref="J13:J23" si="0">G13*$M$9</f>
        <v>12278.75</v>
      </c>
      <c r="K13" s="37">
        <f t="shared" ref="K13:K23" si="1">H13*$M$9</f>
        <v>0</v>
      </c>
      <c r="L13" s="38">
        <f t="shared" ref="L13:L23" si="2">I13*$M$9</f>
        <v>2378.75</v>
      </c>
      <c r="N13" s="16"/>
      <c r="O13" s="14">
        <v>6</v>
      </c>
      <c r="P13" s="59">
        <v>178</v>
      </c>
    </row>
    <row r="14" spans="1:16" x14ac:dyDescent="0.2">
      <c r="A14" s="4"/>
      <c r="B14" s="4">
        <v>2</v>
      </c>
      <c r="C14" s="39">
        <f>1.35</f>
        <v>1.35</v>
      </c>
      <c r="D14" s="26">
        <v>0</v>
      </c>
      <c r="E14" s="26">
        <f>2.35+10.13</f>
        <v>12.48</v>
      </c>
      <c r="F14" s="40">
        <f>4.09/2</f>
        <v>2.0449999999999999</v>
      </c>
      <c r="G14" s="26">
        <f t="shared" ref="G14:I23" si="3">C14/$F14</f>
        <v>0.66014669926650371</v>
      </c>
      <c r="H14" s="26">
        <f t="shared" si="3"/>
        <v>0</v>
      </c>
      <c r="I14" s="26">
        <f t="shared" si="3"/>
        <v>6.1026894865525678</v>
      </c>
      <c r="J14" s="41">
        <f t="shared" si="0"/>
        <v>3485.5745721271396</v>
      </c>
      <c r="K14" s="42">
        <f t="shared" si="1"/>
        <v>0</v>
      </c>
      <c r="L14" s="43">
        <f t="shared" si="2"/>
        <v>32222.200488997558</v>
      </c>
      <c r="N14" s="16"/>
      <c r="O14" s="14">
        <v>8</v>
      </c>
      <c r="P14" s="59">
        <v>364</v>
      </c>
    </row>
    <row r="15" spans="1:16" x14ac:dyDescent="0.2">
      <c r="A15" s="4"/>
      <c r="B15" s="4">
        <v>4</v>
      </c>
      <c r="C15" s="39"/>
      <c r="D15" s="26"/>
      <c r="E15" s="26">
        <f>6.44+5.64</f>
        <v>12.08</v>
      </c>
      <c r="F15" s="40">
        <f>3.46/3</f>
        <v>1.1533333333333333</v>
      </c>
      <c r="G15" s="26">
        <f t="shared" si="3"/>
        <v>0</v>
      </c>
      <c r="H15" s="26">
        <f t="shared" si="3"/>
        <v>0</v>
      </c>
      <c r="I15" s="26">
        <f t="shared" si="3"/>
        <v>10.473988439306359</v>
      </c>
      <c r="J15" s="41">
        <f t="shared" si="0"/>
        <v>0</v>
      </c>
      <c r="K15" s="42">
        <f t="shared" si="1"/>
        <v>0</v>
      </c>
      <c r="L15" s="43">
        <f t="shared" si="2"/>
        <v>55302.658959537577</v>
      </c>
      <c r="N15" s="16"/>
      <c r="O15" s="14">
        <v>12</v>
      </c>
      <c r="P15" s="59">
        <v>558</v>
      </c>
    </row>
    <row r="16" spans="1:16" x14ac:dyDescent="0.2">
      <c r="A16" s="4"/>
      <c r="B16" s="4">
        <v>5</v>
      </c>
      <c r="C16" s="39"/>
      <c r="D16" s="26"/>
      <c r="E16" s="26">
        <v>2.12</v>
      </c>
      <c r="F16" s="40">
        <f>2.59/2</f>
        <v>1.2949999999999999</v>
      </c>
      <c r="G16" s="26">
        <f t="shared" si="3"/>
        <v>0</v>
      </c>
      <c r="H16" s="26">
        <f t="shared" si="3"/>
        <v>0</v>
      </c>
      <c r="I16" s="26">
        <f t="shared" si="3"/>
        <v>1.6370656370656373</v>
      </c>
      <c r="J16" s="41">
        <f t="shared" si="0"/>
        <v>0</v>
      </c>
      <c r="K16" s="42">
        <f t="shared" si="1"/>
        <v>0</v>
      </c>
      <c r="L16" s="43">
        <f t="shared" si="2"/>
        <v>8643.7065637065643</v>
      </c>
      <c r="N16" s="16"/>
      <c r="O16" s="14">
        <v>16</v>
      </c>
      <c r="P16" s="59">
        <v>742</v>
      </c>
    </row>
    <row r="17" spans="1:16" x14ac:dyDescent="0.2">
      <c r="A17" s="4"/>
      <c r="B17" s="4">
        <v>7</v>
      </c>
      <c r="C17" s="39">
        <v>0.32</v>
      </c>
      <c r="D17" s="26">
        <v>0.27</v>
      </c>
      <c r="E17" s="26">
        <v>0.11</v>
      </c>
      <c r="F17" s="40">
        <f>2.26/2</f>
        <v>1.1299999999999999</v>
      </c>
      <c r="G17" s="26">
        <f t="shared" si="3"/>
        <v>0.28318584070796465</v>
      </c>
      <c r="H17" s="26">
        <f t="shared" si="3"/>
        <v>0.23893805309734517</v>
      </c>
      <c r="I17" s="26">
        <f t="shared" si="3"/>
        <v>9.7345132743362844E-2</v>
      </c>
      <c r="J17" s="41">
        <f t="shared" si="0"/>
        <v>1495.2212389380534</v>
      </c>
      <c r="K17" s="42">
        <f t="shared" si="1"/>
        <v>1261.5929203539824</v>
      </c>
      <c r="L17" s="43">
        <f t="shared" si="2"/>
        <v>513.98230088495586</v>
      </c>
      <c r="N17" s="16"/>
      <c r="O17" s="17">
        <v>20</v>
      </c>
      <c r="P17" s="60">
        <v>614</v>
      </c>
    </row>
    <row r="18" spans="1:16" x14ac:dyDescent="0.2">
      <c r="A18" s="4"/>
      <c r="B18" s="4">
        <v>6</v>
      </c>
      <c r="C18" s="39"/>
      <c r="D18" s="26"/>
      <c r="E18" s="26">
        <v>1.87</v>
      </c>
      <c r="F18" s="40">
        <f>2.26/2</f>
        <v>1.1299999999999999</v>
      </c>
      <c r="G18" s="26">
        <f t="shared" si="3"/>
        <v>0</v>
      </c>
      <c r="H18" s="26">
        <f t="shared" si="3"/>
        <v>0</v>
      </c>
      <c r="I18" s="26">
        <f t="shared" si="3"/>
        <v>1.6548672566371685</v>
      </c>
      <c r="J18" s="41">
        <f t="shared" si="0"/>
        <v>0</v>
      </c>
      <c r="K18" s="42">
        <f t="shared" si="1"/>
        <v>0</v>
      </c>
      <c r="L18" s="43">
        <f t="shared" si="2"/>
        <v>8737.69911504425</v>
      </c>
      <c r="N18" s="16"/>
    </row>
    <row r="19" spans="1:16" x14ac:dyDescent="0.2">
      <c r="A19" s="4"/>
      <c r="B19" s="4">
        <v>8</v>
      </c>
      <c r="C19" s="39">
        <v>5.66</v>
      </c>
      <c r="D19" s="26"/>
      <c r="E19" s="26"/>
      <c r="F19" s="40">
        <f>3.31/2</f>
        <v>1.655</v>
      </c>
      <c r="G19" s="26">
        <f t="shared" si="3"/>
        <v>3.4199395770392749</v>
      </c>
      <c r="H19" s="26">
        <f t="shared" si="3"/>
        <v>0</v>
      </c>
      <c r="I19" s="26">
        <f t="shared" si="3"/>
        <v>0</v>
      </c>
      <c r="J19" s="41">
        <f t="shared" si="0"/>
        <v>18057.280966767372</v>
      </c>
      <c r="K19" s="42">
        <f t="shared" si="1"/>
        <v>0</v>
      </c>
      <c r="L19" s="43">
        <f t="shared" si="2"/>
        <v>0</v>
      </c>
      <c r="N19" s="16"/>
    </row>
    <row r="20" spans="1:16" x14ac:dyDescent="0.2">
      <c r="A20" s="4"/>
      <c r="B20" s="4">
        <v>3</v>
      </c>
      <c r="C20" s="39"/>
      <c r="D20" s="26"/>
      <c r="E20" s="26"/>
      <c r="F20" s="40">
        <f>3.07/5</f>
        <v>0.61399999999999999</v>
      </c>
      <c r="G20" s="26">
        <f t="shared" si="3"/>
        <v>0</v>
      </c>
      <c r="H20" s="26">
        <f t="shared" si="3"/>
        <v>0</v>
      </c>
      <c r="I20" s="26">
        <f t="shared" si="3"/>
        <v>0</v>
      </c>
      <c r="J20" s="41">
        <f t="shared" si="0"/>
        <v>0</v>
      </c>
      <c r="K20" s="42">
        <f t="shared" si="1"/>
        <v>0</v>
      </c>
      <c r="L20" s="43">
        <f t="shared" si="2"/>
        <v>0</v>
      </c>
      <c r="N20" s="16"/>
    </row>
    <row r="21" spans="1:16" x14ac:dyDescent="0.2">
      <c r="A21" s="4"/>
      <c r="B21" s="4">
        <v>9</v>
      </c>
      <c r="C21" s="39"/>
      <c r="D21" s="26">
        <f>4.47+0.28+0.29</f>
        <v>5.04</v>
      </c>
      <c r="E21" s="26">
        <f>0.53+0.28</f>
        <v>0.81</v>
      </c>
      <c r="F21" s="26">
        <f>2.56/3</f>
        <v>0.85333333333333339</v>
      </c>
      <c r="G21" s="26">
        <f t="shared" si="3"/>
        <v>0</v>
      </c>
      <c r="H21" s="26">
        <f t="shared" si="3"/>
        <v>5.90625</v>
      </c>
      <c r="I21" s="26">
        <f t="shared" si="3"/>
        <v>0.94921875</v>
      </c>
      <c r="J21" s="41">
        <f t="shared" si="0"/>
        <v>0</v>
      </c>
      <c r="K21" s="42">
        <f t="shared" si="1"/>
        <v>31185</v>
      </c>
      <c r="L21" s="43">
        <f t="shared" si="2"/>
        <v>5011.875</v>
      </c>
      <c r="N21" s="16"/>
    </row>
    <row r="22" spans="1:16" x14ac:dyDescent="0.2">
      <c r="A22" s="4"/>
      <c r="B22" s="8" t="s">
        <v>11</v>
      </c>
      <c r="C22" s="39"/>
      <c r="D22" s="26">
        <f>1.29+1.6</f>
        <v>2.89</v>
      </c>
      <c r="E22" s="26">
        <v>0.84</v>
      </c>
      <c r="F22" s="26">
        <f>2.91/4</f>
        <v>0.72750000000000004</v>
      </c>
      <c r="G22" s="26">
        <f t="shared" si="3"/>
        <v>0</v>
      </c>
      <c r="H22" s="26">
        <f t="shared" si="3"/>
        <v>3.9725085910652922</v>
      </c>
      <c r="I22" s="26">
        <f t="shared" si="3"/>
        <v>1.1546391752577319</v>
      </c>
      <c r="J22" s="41">
        <f t="shared" si="0"/>
        <v>0</v>
      </c>
      <c r="K22" s="42">
        <f t="shared" si="1"/>
        <v>20974.845360824744</v>
      </c>
      <c r="L22" s="43">
        <f t="shared" si="2"/>
        <v>6096.494845360824</v>
      </c>
      <c r="N22" s="16"/>
    </row>
    <row r="23" spans="1:16" x14ac:dyDescent="0.2">
      <c r="A23" s="4"/>
      <c r="B23" s="8" t="s">
        <v>11</v>
      </c>
      <c r="C23" s="44"/>
      <c r="D23" s="45"/>
      <c r="E23" s="45"/>
      <c r="F23" s="26">
        <f>2.91/4</f>
        <v>0.72750000000000004</v>
      </c>
      <c r="G23" s="26">
        <f t="shared" si="3"/>
        <v>0</v>
      </c>
      <c r="H23" s="26">
        <f t="shared" si="3"/>
        <v>0</v>
      </c>
      <c r="I23" s="26">
        <f t="shared" si="3"/>
        <v>0</v>
      </c>
      <c r="J23" s="41">
        <f t="shared" si="0"/>
        <v>0</v>
      </c>
      <c r="K23" s="42">
        <f t="shared" si="1"/>
        <v>0</v>
      </c>
      <c r="L23" s="43">
        <f t="shared" si="2"/>
        <v>0</v>
      </c>
      <c r="N23" s="16"/>
    </row>
    <row r="24" spans="1:16" ht="12" thickBot="1" x14ac:dyDescent="0.25">
      <c r="A24" s="4"/>
      <c r="B24" s="4" t="s">
        <v>5</v>
      </c>
      <c r="C24" s="46">
        <f>SUM(C13:C23)</f>
        <v>16.259999999999998</v>
      </c>
      <c r="D24" s="47">
        <f>SUM(D13:D23)</f>
        <v>8.2000000000000011</v>
      </c>
      <c r="E24" s="47">
        <f>SUM(E13:E23)</f>
        <v>32.04</v>
      </c>
      <c r="F24" s="47"/>
      <c r="G24" s="47"/>
      <c r="H24" s="47"/>
      <c r="I24" s="47"/>
      <c r="J24" s="48">
        <f>SUM(J13:J23)</f>
        <v>35316.826777832568</v>
      </c>
      <c r="K24" s="25">
        <f t="shared" ref="K24:L24" si="4">SUM(K13:K23)</f>
        <v>53421.438281178722</v>
      </c>
      <c r="L24" s="49">
        <f t="shared" si="4"/>
        <v>118907.36727353172</v>
      </c>
      <c r="N24" s="16"/>
    </row>
    <row r="25" spans="1:16" ht="12" thickTop="1" x14ac:dyDescent="0.2">
      <c r="A25" s="4"/>
      <c r="F25" s="9"/>
      <c r="G25" s="9"/>
      <c r="I25" s="4" t="s">
        <v>6</v>
      </c>
      <c r="J25" s="50">
        <f>J24*$P$12</f>
        <v>3743583.6384502524</v>
      </c>
      <c r="K25" s="29">
        <f>K24*$P$13</f>
        <v>9509016.0140498132</v>
      </c>
      <c r="L25" s="51">
        <f>L24*$P$14</f>
        <v>43282281.68756555</v>
      </c>
      <c r="N25" s="18"/>
    </row>
    <row r="26" spans="1:16" x14ac:dyDescent="0.2">
      <c r="A26" s="4"/>
      <c r="I26" s="4"/>
      <c r="J26" s="52"/>
      <c r="L26" s="53"/>
    </row>
    <row r="27" spans="1:16" ht="12" thickBot="1" x14ac:dyDescent="0.25">
      <c r="A27" s="4"/>
      <c r="B27" s="19"/>
      <c r="I27" s="4" t="s">
        <v>9</v>
      </c>
      <c r="J27" s="54"/>
      <c r="K27" s="55"/>
      <c r="L27" s="56">
        <f>10874179+15945008+622724</f>
        <v>27441911</v>
      </c>
    </row>
    <row r="28" spans="1:16" ht="12" thickTop="1" x14ac:dyDescent="0.2">
      <c r="A28" s="4"/>
    </row>
    <row r="29" spans="1:16" x14ac:dyDescent="0.2">
      <c r="A29" s="4"/>
      <c r="K29" s="1" t="s">
        <v>10</v>
      </c>
      <c r="L29" s="57">
        <f>L27+SUM(J25:L25)</f>
        <v>83976792.340065613</v>
      </c>
    </row>
    <row r="30" spans="1:16" x14ac:dyDescent="0.2">
      <c r="A30" s="4"/>
    </row>
  </sheetData>
  <mergeCells count="8">
    <mergeCell ref="C11:E11"/>
    <mergeCell ref="G11:I11"/>
    <mergeCell ref="J11:L11"/>
    <mergeCell ref="A1:P1"/>
    <mergeCell ref="A2:P2"/>
    <mergeCell ref="A3:P3"/>
    <mergeCell ref="A4:P4"/>
    <mergeCell ref="A6:P6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List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2024-10-28T07:00:00+00:00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626D2E-CA45-47AA-9C64-242D4908246D}"/>
</file>

<file path=customXml/itemProps2.xml><?xml version="1.0" encoding="utf-8"?>
<ds:datastoreItem xmlns:ds="http://schemas.openxmlformats.org/officeDocument/2006/customXml" ds:itemID="{E6AC3463-B408-4084-AEC9-C34B906446E7}"/>
</file>

<file path=customXml/itemProps3.xml><?xml version="1.0" encoding="utf-8"?>
<ds:datastoreItem xmlns:ds="http://schemas.openxmlformats.org/officeDocument/2006/customXml" ds:itemID="{1DB0A877-F362-4928-9F67-7F265768E210}"/>
</file>

<file path=customXml/itemProps4.xml><?xml version="1.0" encoding="utf-8"?>
<ds:datastoreItem xmlns:ds="http://schemas.openxmlformats.org/officeDocument/2006/customXml" ds:itemID="{A539CECB-24E2-43E6-A131-408228C898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Exh JDT-14</vt:lpstr>
      <vt:lpstr>Maps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Dunkin, Alexis (UTC)</dc:creator>
  <cp:lastModifiedBy>Dunkin, Alexis (UTC)</cp:lastModifiedBy>
  <cp:lastPrinted>1900-01-01T08:00:00Z</cp:lastPrinted>
  <dcterms:created xsi:type="dcterms:W3CDTF">1900-01-01T08:00:00Z</dcterms:created>
  <dcterms:modified xsi:type="dcterms:W3CDTF">2024-10-28T23:24:42Z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2024-10-17T16:13:48Z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dc076014-1158-4a5c-964b-0d1573d21ebe</vt:lpwstr>
  </property>
  <property fmtid="{D5CDD505-2E9C-101B-9397-08002B2CF9AE}" pid="8" name="MSIP_Label_b689cc04-6351-41d8-9f1d-a834e5351c1d_ContentBits">
    <vt:lpwstr>0</vt:lpwstr>
  </property>
  <property fmtid="{D5CDD505-2E9C-101B-9397-08002B2CF9AE}" pid="9" name="ContentTypeId">
    <vt:lpwstr>0x0101006E56B4D1795A2E4DB2F0B01679ED314A00E44296BEEBC83648A45074ADE4018599</vt:lpwstr>
  </property>
  <property fmtid="{D5CDD505-2E9C-101B-9397-08002B2CF9AE}" pid="10" name="_docset_NoMedatataSyncRequired">
    <vt:lpwstr>False</vt:lpwstr>
  </property>
</Properties>
</file>