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6FAA0BF2-71C1-4563-A7E5-59151AEC930C}" xr6:coauthVersionLast="47" xr6:coauthVersionMax="47" xr10:uidLastSave="{00000000-0000-0000-0000-000000000000}"/>
  <bookViews>
    <workbookView xWindow="19950" yWindow="2020" windowWidth="14400" windowHeight="7440" activeTab="1" xr2:uid="{C0C52E4E-67D3-4FCC-9CD8-10E8B23E0FA9}"/>
  </bookViews>
  <sheets>
    <sheet name="Revenue Appt" sheetId="1" r:id="rId1"/>
    <sheet name="Exh JDT-5 (Rate Spread)" sheetId="2" r:id="rId2"/>
  </sheets>
  <definedNames>
    <definedName name="Company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'Exh JDT-5 (Rate Spread)'!$A$1:$L$38</definedName>
    <definedName name="_xlnm.Print_Titles" localSheetId="1">'Exh JDT-5 (Rate Spread)'!$1:$6</definedName>
    <definedName name="RateCase">#REF!</definedName>
    <definedName name="TestYear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2" l="1"/>
  <c r="H22" i="1"/>
  <c r="H23" i="1" l="1"/>
  <c r="H21" i="1"/>
  <c r="H20" i="1"/>
  <c r="H19" i="1"/>
  <c r="H18" i="1"/>
  <c r="H17" i="1"/>
  <c r="H16" i="1"/>
  <c r="H24" i="1" s="1"/>
  <c r="G44" i="2"/>
  <c r="F44" i="2"/>
  <c r="E44" i="2"/>
  <c r="L42" i="2"/>
  <c r="L44" i="2" s="1"/>
  <c r="K42" i="2"/>
  <c r="G42" i="2"/>
  <c r="F42" i="2"/>
  <c r="E42" i="2"/>
  <c r="L41" i="2"/>
  <c r="K41" i="2"/>
  <c r="J41" i="2"/>
  <c r="I41" i="2"/>
  <c r="H41" i="2"/>
  <c r="G41" i="2"/>
  <c r="F41" i="2"/>
  <c r="E41" i="2"/>
  <c r="D36" i="2"/>
  <c r="A36" i="2"/>
  <c r="D35" i="2"/>
  <c r="D34" i="2"/>
  <c r="L32" i="2"/>
  <c r="D28" i="2"/>
  <c r="C27" i="2"/>
  <c r="K32" i="2"/>
  <c r="C25" i="2"/>
  <c r="D25" i="2" s="1"/>
  <c r="D24" i="2"/>
  <c r="D23" i="2"/>
  <c r="A23" i="2"/>
  <c r="D22" i="2"/>
  <c r="D21" i="2"/>
  <c r="L20" i="2"/>
  <c r="L19" i="2"/>
  <c r="L21" i="2" s="1"/>
  <c r="D15" i="2"/>
  <c r="J42" i="2"/>
  <c r="J44" i="2" s="1"/>
  <c r="I42" i="2"/>
  <c r="I44" i="2" s="1"/>
  <c r="A10" i="2"/>
  <c r="B39" i="1"/>
  <c r="B37" i="1"/>
  <c r="D24" i="1"/>
  <c r="F23" i="1"/>
  <c r="D23" i="1"/>
  <c r="B23" i="1"/>
  <c r="B40" i="1" s="1"/>
  <c r="F22" i="1"/>
  <c r="D22" i="1"/>
  <c r="B22" i="1"/>
  <c r="F21" i="1"/>
  <c r="E21" i="1"/>
  <c r="D21" i="1"/>
  <c r="B38" i="1" s="1"/>
  <c r="B21" i="1"/>
  <c r="F20" i="1"/>
  <c r="E20" i="1"/>
  <c r="D20" i="1"/>
  <c r="B20" i="1"/>
  <c r="F19" i="1"/>
  <c r="D19" i="1"/>
  <c r="B19" i="1"/>
  <c r="F18" i="1"/>
  <c r="E18" i="1"/>
  <c r="D18" i="1"/>
  <c r="B18" i="1"/>
  <c r="F17" i="1"/>
  <c r="D17" i="1"/>
  <c r="B17" i="1"/>
  <c r="F16" i="1"/>
  <c r="D16" i="1"/>
  <c r="B16" i="1"/>
  <c r="B33" i="1" s="1"/>
  <c r="K12" i="1"/>
  <c r="M10" i="1" s="1"/>
  <c r="J12" i="1"/>
  <c r="L10" i="1" s="1"/>
  <c r="G22" i="1" s="1"/>
  <c r="I12" i="1"/>
  <c r="H12" i="1"/>
  <c r="E24" i="1" s="1"/>
  <c r="G12" i="1"/>
  <c r="I10" i="1" s="1"/>
  <c r="F12" i="1"/>
  <c r="C12" i="1"/>
  <c r="E10" i="1" s="1"/>
  <c r="B12" i="1"/>
  <c r="B24" i="1" s="1"/>
  <c r="I11" i="1"/>
  <c r="H11" i="1"/>
  <c r="E23" i="1" s="1"/>
  <c r="E11" i="1"/>
  <c r="D11" i="1"/>
  <c r="C23" i="1" s="1"/>
  <c r="H10" i="1"/>
  <c r="E22" i="1" s="1"/>
  <c r="I9" i="1"/>
  <c r="H9" i="1"/>
  <c r="E9" i="1"/>
  <c r="D9" i="1"/>
  <c r="C21" i="1" s="1"/>
  <c r="H8" i="1"/>
  <c r="I7" i="1"/>
  <c r="H7" i="1"/>
  <c r="E19" i="1" s="1"/>
  <c r="E7" i="1"/>
  <c r="D7" i="1"/>
  <c r="C19" i="1" s="1"/>
  <c r="H6" i="1"/>
  <c r="E6" i="1"/>
  <c r="D6" i="1"/>
  <c r="C18" i="1" s="1"/>
  <c r="I5" i="1"/>
  <c r="H5" i="1"/>
  <c r="E17" i="1" s="1"/>
  <c r="E5" i="1"/>
  <c r="D5" i="1"/>
  <c r="C17" i="1" s="1"/>
  <c r="H4" i="1"/>
  <c r="E16" i="1" s="1"/>
  <c r="E4" i="1"/>
  <c r="D4" i="1"/>
  <c r="C16" i="1" s="1"/>
  <c r="I24" i="1" l="1"/>
  <c r="I18" i="1"/>
  <c r="I22" i="1"/>
  <c r="I21" i="1"/>
  <c r="B34" i="1"/>
  <c r="B35" i="1"/>
  <c r="K33" i="2"/>
  <c r="K34" i="2"/>
  <c r="K35" i="2" s="1"/>
  <c r="L34" i="2"/>
  <c r="L35" i="2" s="1"/>
  <c r="L33" i="2"/>
  <c r="E29" i="2"/>
  <c r="G29" i="2"/>
  <c r="J28" i="2"/>
  <c r="I28" i="2"/>
  <c r="F28" i="2"/>
  <c r="F29" i="2" s="1"/>
  <c r="L28" i="2"/>
  <c r="H28" i="2"/>
  <c r="G28" i="2"/>
  <c r="E28" i="2"/>
  <c r="K28" i="2"/>
  <c r="H29" i="2"/>
  <c r="I29" i="2"/>
  <c r="J29" i="2"/>
  <c r="K19" i="2"/>
  <c r="K21" i="2" s="1"/>
  <c r="H42" i="2"/>
  <c r="C14" i="2"/>
  <c r="A8" i="2"/>
  <c r="C12" i="2"/>
  <c r="D12" i="2" s="1"/>
  <c r="I20" i="1"/>
  <c r="I19" i="1"/>
  <c r="I17" i="1"/>
  <c r="I23" i="1"/>
  <c r="B36" i="1"/>
  <c r="I16" i="1"/>
  <c r="L7" i="1"/>
  <c r="G19" i="1" s="1"/>
  <c r="L12" i="1"/>
  <c r="G24" i="1" s="1"/>
  <c r="M9" i="1"/>
  <c r="D10" i="1"/>
  <c r="C22" i="1" s="1"/>
  <c r="F24" i="1"/>
  <c r="B41" i="1" s="1"/>
  <c r="L9" i="1"/>
  <c r="G21" i="1" s="1"/>
  <c r="M11" i="1"/>
  <c r="D8" i="1"/>
  <c r="C20" i="1" s="1"/>
  <c r="E8" i="1"/>
  <c r="D12" i="1"/>
  <c r="C24" i="1" s="1"/>
  <c r="I4" i="1"/>
  <c r="I6" i="1"/>
  <c r="I8" i="1"/>
  <c r="E12" i="1"/>
  <c r="M7" i="1"/>
  <c r="L5" i="1"/>
  <c r="G17" i="1" s="1"/>
  <c r="L11" i="1"/>
  <c r="G23" i="1" s="1"/>
  <c r="M5" i="1"/>
  <c r="M12" i="1"/>
  <c r="L4" i="1"/>
  <c r="G16" i="1" s="1"/>
  <c r="L6" i="1"/>
  <c r="G18" i="1" s="1"/>
  <c r="L8" i="1"/>
  <c r="G20" i="1" s="1"/>
  <c r="M4" i="1"/>
  <c r="M6" i="1"/>
  <c r="M8" i="1"/>
  <c r="G15" i="2" l="1"/>
  <c r="G16" i="2" s="1"/>
  <c r="F15" i="2"/>
  <c r="F16" i="2" s="1"/>
  <c r="J15" i="2"/>
  <c r="J16" i="2" s="1"/>
  <c r="I15" i="2"/>
  <c r="I16" i="2" s="1"/>
  <c r="H15" i="2"/>
  <c r="H16" i="2" s="1"/>
  <c r="E15" i="2"/>
  <c r="E16" i="2" s="1"/>
  <c r="L15" i="2"/>
  <c r="K15" i="2"/>
  <c r="K22" i="2"/>
  <c r="K20" i="2"/>
  <c r="C29" i="2"/>
  <c r="A9" i="2"/>
  <c r="L22" i="2"/>
  <c r="H44" i="2"/>
  <c r="C44" i="2" s="1"/>
  <c r="C42" i="2"/>
  <c r="C41" i="1"/>
  <c r="C39" i="1"/>
  <c r="C35" i="1"/>
  <c r="C33" i="1"/>
  <c r="C34" i="1"/>
  <c r="C38" i="1"/>
  <c r="C40" i="1"/>
  <c r="C37" i="1"/>
  <c r="C36" i="1"/>
  <c r="D42" i="2" l="1"/>
  <c r="C43" i="2"/>
  <c r="A11" i="2"/>
  <c r="A13" i="2" s="1"/>
  <c r="A12" i="2"/>
  <c r="C16" i="2"/>
  <c r="D29" i="2"/>
  <c r="C30" i="2"/>
  <c r="J31" i="2" l="1"/>
  <c r="J32" i="2" s="1"/>
  <c r="G31" i="2"/>
  <c r="G32" i="2" s="1"/>
  <c r="I31" i="2"/>
  <c r="I32" i="2" s="1"/>
  <c r="F31" i="2"/>
  <c r="F32" i="2" s="1"/>
  <c r="H31" i="2"/>
  <c r="H32" i="2" s="1"/>
  <c r="E31" i="2"/>
  <c r="A14" i="2"/>
  <c r="D16" i="2"/>
  <c r="C17" i="2"/>
  <c r="J33" i="2" l="1"/>
  <c r="J34" i="2"/>
  <c r="J35" i="2" s="1"/>
  <c r="H33" i="2"/>
  <c r="H34" i="2"/>
  <c r="H35" i="2" s="1"/>
  <c r="A15" i="2"/>
  <c r="I33" i="2"/>
  <c r="I34" i="2"/>
  <c r="I35" i="2" s="1"/>
  <c r="G18" i="2"/>
  <c r="G19" i="2" s="1"/>
  <c r="F18" i="2"/>
  <c r="F19" i="2" s="1"/>
  <c r="I18" i="2"/>
  <c r="I19" i="2" s="1"/>
  <c r="E18" i="2"/>
  <c r="J18" i="2"/>
  <c r="J19" i="2" s="1"/>
  <c r="H18" i="2"/>
  <c r="H19" i="2" s="1"/>
  <c r="C31" i="2"/>
  <c r="D31" i="2" s="1"/>
  <c r="E32" i="2"/>
  <c r="F34" i="2"/>
  <c r="F35" i="2" s="1"/>
  <c r="F33" i="2"/>
  <c r="G33" i="2"/>
  <c r="G34" i="2"/>
  <c r="G35" i="2" s="1"/>
  <c r="E34" i="2" l="1"/>
  <c r="E35" i="2" s="1"/>
  <c r="E33" i="2"/>
  <c r="C33" i="2" s="1"/>
  <c r="D33" i="2" s="1"/>
  <c r="C32" i="2"/>
  <c r="D32" i="2" s="1"/>
  <c r="H20" i="2"/>
  <c r="H21" i="2"/>
  <c r="H22" i="2" s="1"/>
  <c r="F20" i="2"/>
  <c r="F21" i="2"/>
  <c r="F22" i="2" s="1"/>
  <c r="A16" i="2"/>
  <c r="G20" i="2"/>
  <c r="G21" i="2"/>
  <c r="G22" i="2" s="1"/>
  <c r="J21" i="2"/>
  <c r="J22" i="2" s="1"/>
  <c r="J20" i="2"/>
  <c r="C18" i="2"/>
  <c r="D18" i="2" s="1"/>
  <c r="E19" i="2"/>
  <c r="I21" i="2"/>
  <c r="I22" i="2" s="1"/>
  <c r="I20" i="2"/>
  <c r="A17" i="2" l="1"/>
  <c r="E20" i="2"/>
  <c r="C20" i="2" s="1"/>
  <c r="D20" i="2" s="1"/>
  <c r="C19" i="2"/>
  <c r="D19" i="2" s="1"/>
  <c r="E21" i="2"/>
  <c r="E22" i="2" s="1"/>
  <c r="A18" i="2" l="1"/>
  <c r="A19" i="2" s="1"/>
  <c r="A20" i="2" s="1"/>
  <c r="A21" i="2" s="1"/>
  <c r="A22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<sst xmlns="http://schemas.openxmlformats.org/spreadsheetml/2006/main" count="125" uniqueCount="67">
  <si>
    <t>PSE / Staff</t>
  </si>
  <si>
    <t>% of Total</t>
  </si>
  <si>
    <t>Public Counsel</t>
  </si>
  <si>
    <t>Nucor</t>
  </si>
  <si>
    <t>AWEC</t>
  </si>
  <si>
    <t>RY1</t>
  </si>
  <si>
    <t>RY2</t>
  </si>
  <si>
    <t>Residential</t>
  </si>
  <si>
    <t>Comm. &amp; Indus.</t>
  </si>
  <si>
    <t>Large Volume</t>
  </si>
  <si>
    <t>Interruptible</t>
  </si>
  <si>
    <t>Limited Interruptible</t>
  </si>
  <si>
    <t>Non-Exclusive Interruptible</t>
  </si>
  <si>
    <t>Exclusive Interruptible</t>
  </si>
  <si>
    <t>Contracts</t>
  </si>
  <si>
    <t>Total</t>
  </si>
  <si>
    <t>(1)</t>
  </si>
  <si>
    <t>(2)</t>
  </si>
  <si>
    <t>(3)</t>
  </si>
  <si>
    <t>Revenues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</si>
  <si>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</si>
  <si>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</si>
  <si>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</si>
  <si>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</si>
  <si>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</si>
  <si>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</si>
  <si>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</si>
  <si>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- Dismukes Exhibit DED-8</t>
  </si>
  <si>
    <t>- Nucor WP 240004-05-PSE-WP-JDT-5-GAS-RATE-SPREAD-DESIGN-24GRC-02-2024</t>
  </si>
  <si>
    <t>- AWEC's revenue apportionment was calculated using its proposed rate spread (Table 8) to PSE's revenue requirement</t>
  </si>
  <si>
    <t>Average of All Parties</t>
  </si>
  <si>
    <t>Rate Spread</t>
  </si>
  <si>
    <t>Line No.</t>
  </si>
  <si>
    <t>Description</t>
  </si>
  <si>
    <t>Total Check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</si>
  <si>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</si>
  <si>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</si>
  <si>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</si>
  <si>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</si>
  <si>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</si>
  <si>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</si>
  <si>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</si>
  <si>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</si>
  <si>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</si>
  <si>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</si>
  <si>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</si>
  <si>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GCOS Parity Ratio</t>
  </si>
  <si>
    <t>Targeted Multiple of System Increase</t>
  </si>
  <si>
    <t>Base Deficiency Allocation - Rate Year 1</t>
  </si>
  <si>
    <t>Revenue at Current Rates</t>
  </si>
  <si>
    <t>Base Deficiency</t>
  </si>
  <si>
    <t>Percent Increase Excluding Contracts &amp; Sch. 88T</t>
  </si>
  <si>
    <t>Targeted Percent Increase</t>
  </si>
  <si>
    <t>Targeted Revenue Increase</t>
  </si>
  <si>
    <t>Delta</t>
  </si>
  <si>
    <t>Allocation of Delta</t>
  </si>
  <si>
    <t>Targeted Revenue Increase Incl. Delta</t>
  </si>
  <si>
    <t>Total Proposed Revenue</t>
  </si>
  <si>
    <t>Percent Increase</t>
  </si>
  <si>
    <t>Multiple of System Increase</t>
  </si>
  <si>
    <t>Base Deficiency Allocation - Rate Year 2</t>
  </si>
  <si>
    <t>Note 1:  Contracts rate changes are governed by the contract between PSE and company</t>
  </si>
  <si>
    <t>Note 2:  PSE is proposing to set Schedule 88T rates to cost to serve indicated by cost of service study.</t>
  </si>
  <si>
    <t>AWEC Table 8 (pdf 35)</t>
  </si>
  <si>
    <t>Puget Sound Energy</t>
  </si>
  <si>
    <t>2024 Gas General Rate Case (Dockets UE-240004 &amp; UG-240005)</t>
  </si>
  <si>
    <t>Gas Rate Spread &amp;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</si>
</sst>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quotePrefix="1"/>
    <xf numFmtId="164" fontId="0" fillId="0" borderId="0" xfId="1" applyNumberFormat="1" applyFont="1"/>
    <xf numFmtId="165" fontId="0" fillId="0" borderId="0" xfId="3" applyNumberFormat="1" applyFont="1"/>
    <xf numFmtId="164" fontId="0" fillId="0" borderId="1" xfId="1" applyNumberFormat="1" applyFont="1" applyBorder="1"/>
    <xf numFmtId="165" fontId="0" fillId="0" borderId="1" xfId="3" applyNumberFormat="1" applyFont="1" applyBorder="1"/>
    <xf numFmtId="164" fontId="0" fillId="0" borderId="0" xfId="0" applyNumberFormat="1"/>
    <xf numFmtId="9" fontId="0" fillId="0" borderId="0" xfId="3" applyFont="1"/>
    <xf numFmtId="0" fontId="0" fillId="0" borderId="2" xfId="0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164" fontId="0" fillId="0" borderId="2" xfId="1" applyNumberFormat="1" applyFont="1" applyBorder="1"/>
    <xf numFmtId="165" fontId="0" fillId="0" borderId="2" xfId="0" applyNumberFormat="1" applyBorder="1"/>
    <xf numFmtId="164" fontId="2" fillId="0" borderId="2" xfId="1" applyNumberFormat="1" applyFont="1" applyBorder="1"/>
    <xf numFmtId="165" fontId="2" fillId="0" borderId="2" xfId="0" applyNumberFormat="1" applyFont="1" applyBorder="1"/>
    <xf numFmtId="0" fontId="2" fillId="0" borderId="0" xfId="0" applyFont="1"/>
    <xf numFmtId="164" fontId="2" fillId="0" borderId="0" xfId="1" applyNumberFormat="1" applyFont="1" applyBorder="1"/>
    <xf numFmtId="165" fontId="2" fillId="0" borderId="0" xfId="0" applyNumberFormat="1" applyFont="1"/>
    <xf numFmtId="0" fontId="2" fillId="0" borderId="0" xfId="0" quotePrefix="1" applyFont="1" applyAlignment="1">
      <alignment horizontal="right"/>
    </xf>
    <xf numFmtId="164" fontId="2" fillId="0" borderId="0" xfId="1" quotePrefix="1" applyNumberFormat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3" xfId="0" quotePrefix="1" applyFont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37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 applyFill="1"/>
    <xf numFmtId="41" fontId="4" fillId="0" borderId="0" xfId="0" applyNumberFormat="1" applyFont="1"/>
    <xf numFmtId="43" fontId="6" fillId="0" borderId="0" xfId="1" applyFont="1" applyFill="1"/>
    <xf numFmtId="10" fontId="4" fillId="0" borderId="0" xfId="0" applyNumberFormat="1" applyFont="1"/>
    <xf numFmtId="166" fontId="4" fillId="0" borderId="0" xfId="0" applyNumberFormat="1" applyFont="1"/>
    <xf numFmtId="166" fontId="6" fillId="0" borderId="0" xfId="0" applyNumberFormat="1" applyFont="1"/>
    <xf numFmtId="166" fontId="4" fillId="0" borderId="0" xfId="2" applyNumberFormat="1" applyFont="1" applyFill="1"/>
    <xf numFmtId="166" fontId="6" fillId="0" borderId="0" xfId="2" applyNumberFormat="1" applyFont="1" applyFill="1"/>
    <xf numFmtId="10" fontId="4" fillId="0" borderId="0" xfId="3" applyNumberFormat="1" applyFont="1"/>
    <xf numFmtId="9" fontId="4" fillId="0" borderId="0" xfId="3" applyFont="1"/>
    <xf numFmtId="0" fontId="7" fillId="0" borderId="0" xfId="0" applyFont="1"/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CBF2-E37B-4F84-A89E-D2EC9903ADFF}">
  <dimension ref="A1:Q41"/>
  <sheetViews>
    <sheetView workbookViewId="0">
      <selection activeCell="H31" sqref="H31"/>
    </sheetView>
  </sheetViews>
  <sheetFormatPr defaultRowHeight="15" x14ac:dyDescent="0.25"/>
  <cols>
    <col min="1" max="1" width="30.7109375" customWidth="1"/>
    <col min="2" max="3" width="12.28515625" customWidth="1"/>
    <col min="4" max="5" width="10.140625" customWidth="1"/>
    <col min="6" max="6" width="13.28515625" customWidth="1"/>
    <col min="7" max="7" width="13.42578125" customWidth="1"/>
    <col min="8" max="9" width="9.7109375" customWidth="1"/>
    <col min="10" max="11" width="15.28515625" bestFit="1" customWidth="1"/>
  </cols>
  <sheetData>
    <row r="1" spans="1:17" x14ac:dyDescent="0.25">
      <c r="F1" s="1"/>
      <c r="J1" s="1"/>
    </row>
    <row r="2" spans="1:17" ht="30" customHeight="1" x14ac:dyDescent="0.25">
      <c r="B2" s="44" t="s">
        <v>0</v>
      </c>
      <c r="C2" s="44"/>
      <c r="D2" s="44" t="s">
        <v>1</v>
      </c>
      <c r="E2" s="44"/>
      <c r="F2" s="44" t="s">
        <v>2</v>
      </c>
      <c r="G2" s="44"/>
      <c r="H2" s="44" t="s">
        <v>1</v>
      </c>
      <c r="I2" s="44"/>
      <c r="J2" s="44" t="s">
        <v>3</v>
      </c>
      <c r="K2" s="44"/>
      <c r="L2" s="44" t="s">
        <v>1</v>
      </c>
      <c r="M2" s="44"/>
      <c r="N2" s="41"/>
      <c r="O2" s="41"/>
      <c r="P2" s="41"/>
      <c r="Q2" s="41"/>
    </row>
    <row r="3" spans="1:17" x14ac:dyDescent="0.25">
      <c r="B3" t="s">
        <v>5</v>
      </c>
      <c r="C3" t="s">
        <v>6</v>
      </c>
      <c r="D3" t="s">
        <v>5</v>
      </c>
      <c r="E3" t="s">
        <v>6</v>
      </c>
      <c r="F3" t="s">
        <v>5</v>
      </c>
      <c r="G3" t="s">
        <v>6</v>
      </c>
      <c r="H3" t="s">
        <v>5</v>
      </c>
      <c r="I3" t="s">
        <v>6</v>
      </c>
      <c r="J3" t="s">
        <v>5</v>
      </c>
      <c r="K3" t="s">
        <v>6</v>
      </c>
      <c r="L3" t="s">
        <v>5</v>
      </c>
      <c r="M3" t="s">
        <v>6</v>
      </c>
    </row>
    <row r="4" spans="1:17" x14ac:dyDescent="0.25">
      <c r="A4" t="s">
        <v>7</v>
      </c>
      <c r="B4" s="2">
        <v>524713931.06266487</v>
      </c>
      <c r="C4" s="2">
        <v>537674349.23837137</v>
      </c>
      <c r="D4" s="3">
        <f>B4/$B$12</f>
        <v>0.66971089405652218</v>
      </c>
      <c r="E4" s="3">
        <f>C4/$C$12</f>
        <v>0.66678356900552149</v>
      </c>
      <c r="F4" s="2">
        <v>524136077.05737507</v>
      </c>
      <c r="G4" s="2">
        <v>537379087.89944911</v>
      </c>
      <c r="H4" s="3">
        <f>F4/$F$12</f>
        <v>0.66897335861176488</v>
      </c>
      <c r="I4" s="3">
        <f>G4/$G$12</f>
        <v>0.66641740794607207</v>
      </c>
      <c r="J4" s="2">
        <v>525204591.92684329</v>
      </c>
      <c r="K4" s="2">
        <v>538259201.39377236</v>
      </c>
      <c r="L4" s="3">
        <f>J4/$J$12</f>
        <v>0.67033714182044568</v>
      </c>
      <c r="M4" s="3">
        <f>K4/$K$12</f>
        <v>0.66750885896601753</v>
      </c>
    </row>
    <row r="5" spans="1:17" x14ac:dyDescent="0.25">
      <c r="A5" t="s">
        <v>8</v>
      </c>
      <c r="B5" s="2">
        <v>198208289.11505198</v>
      </c>
      <c r="C5" s="2">
        <v>206177201.83949193</v>
      </c>
      <c r="D5" s="3">
        <f t="shared" ref="D5:D12" si="0">B5/$B$12</f>
        <v>0.25298022913899371</v>
      </c>
      <c r="E5" s="3">
        <f t="shared" ref="E5:E12" si="1">C5/$C$12</f>
        <v>0.25568556633740414</v>
      </c>
      <c r="F5" s="2">
        <v>198199612.61278909</v>
      </c>
      <c r="G5" s="2">
        <v>205709071.45704818</v>
      </c>
      <c r="H5" s="3">
        <f t="shared" ref="H5:H12" si="2">F5/$F$12</f>
        <v>0.25296915501318201</v>
      </c>
      <c r="I5" s="3">
        <f t="shared" ref="I5:I12" si="3">G5/$G$12</f>
        <v>0.25510502600177548</v>
      </c>
      <c r="J5" s="2">
        <v>198439234.94874886</v>
      </c>
      <c r="K5" s="2">
        <v>206454539.71248037</v>
      </c>
      <c r="L5" s="3">
        <f t="shared" ref="L5:L11" si="4">J5/$J$12</f>
        <v>0.25327499345075977</v>
      </c>
      <c r="M5" s="3">
        <f t="shared" ref="M5:M11" si="5">K5/$K$12</f>
        <v>0.25602950005310687</v>
      </c>
    </row>
    <row r="6" spans="1:17" x14ac:dyDescent="0.25">
      <c r="A6" t="s">
        <v>9</v>
      </c>
      <c r="B6" s="2">
        <v>33959553.021827668</v>
      </c>
      <c r="C6" s="2">
        <v>35104224.652730078</v>
      </c>
      <c r="D6" s="3">
        <f t="shared" si="0"/>
        <v>4.3343775092740858E-2</v>
      </c>
      <c r="E6" s="3">
        <f t="shared" si="1"/>
        <v>4.3533637478290414E-2</v>
      </c>
      <c r="F6" s="2">
        <v>34480126.565973565</v>
      </c>
      <c r="G6" s="2">
        <v>35604125.754748717</v>
      </c>
      <c r="H6" s="3">
        <f t="shared" si="2"/>
        <v>4.4008201464966326E-2</v>
      </c>
      <c r="I6" s="3">
        <f t="shared" si="3"/>
        <v>4.4153577487379463E-2</v>
      </c>
      <c r="J6" s="2">
        <v>33995979.064709648</v>
      </c>
      <c r="K6" s="2">
        <v>35147826.916426651</v>
      </c>
      <c r="L6" s="3">
        <f t="shared" si="4"/>
        <v>4.3390266935821958E-2</v>
      </c>
      <c r="M6" s="3">
        <f t="shared" si="5"/>
        <v>4.358770974907198E-2</v>
      </c>
    </row>
    <row r="7" spans="1:17" x14ac:dyDescent="0.25">
      <c r="A7" t="s">
        <v>10</v>
      </c>
      <c r="B7" s="2">
        <v>14085786.611007646</v>
      </c>
      <c r="C7" s="2">
        <v>14470166.401194273</v>
      </c>
      <c r="D7" s="3">
        <f t="shared" si="0"/>
        <v>1.7978186181644793E-2</v>
      </c>
      <c r="E7" s="3">
        <f t="shared" si="1"/>
        <v>1.7944819593420046E-2</v>
      </c>
      <c r="F7" s="2">
        <v>14085170.010360155</v>
      </c>
      <c r="G7" s="2">
        <v>14437311.53425952</v>
      </c>
      <c r="H7" s="3">
        <f t="shared" si="2"/>
        <v>1.7977399192494217E-2</v>
      </c>
      <c r="I7" s="3">
        <f t="shared" si="3"/>
        <v>1.790407544137897E-2</v>
      </c>
      <c r="J7" s="2">
        <v>13479309.791540328</v>
      </c>
      <c r="K7" s="2">
        <v>13807472.238588922</v>
      </c>
      <c r="L7" s="3">
        <f t="shared" si="4"/>
        <v>1.7204118429779622E-2</v>
      </c>
      <c r="M7" s="3">
        <f t="shared" si="5"/>
        <v>1.7122995789611951E-2</v>
      </c>
    </row>
    <row r="8" spans="1:17" x14ac:dyDescent="0.25">
      <c r="A8" t="s">
        <v>11</v>
      </c>
      <c r="B8" s="2">
        <v>1585588.0672739989</v>
      </c>
      <c r="C8" s="2">
        <v>1584522.0441475809</v>
      </c>
      <c r="D8" s="3">
        <f t="shared" si="0"/>
        <v>2.023741965434124E-3</v>
      </c>
      <c r="E8" s="3">
        <f t="shared" si="1"/>
        <v>1.9650058911332728E-3</v>
      </c>
      <c r="F8" s="2">
        <v>1585539.2488553668</v>
      </c>
      <c r="G8" s="2">
        <v>1581962.6106978962</v>
      </c>
      <c r="H8" s="3">
        <f t="shared" si="2"/>
        <v>2.0236796567648613E-3</v>
      </c>
      <c r="I8" s="3">
        <f t="shared" si="3"/>
        <v>1.9618318729331665E-3</v>
      </c>
      <c r="J8" s="2">
        <v>1559489.5423395159</v>
      </c>
      <c r="K8" s="2">
        <v>1556515.5856380789</v>
      </c>
      <c r="L8" s="3">
        <f t="shared" si="4"/>
        <v>1.9904314977054875E-3</v>
      </c>
      <c r="M8" s="3">
        <f t="shared" si="5"/>
        <v>1.9302743730933601E-3</v>
      </c>
    </row>
    <row r="9" spans="1:17" x14ac:dyDescent="0.25">
      <c r="A9" t="s">
        <v>12</v>
      </c>
      <c r="B9" s="2">
        <v>8733308.9120240621</v>
      </c>
      <c r="C9" s="2">
        <v>9016040.3584466148</v>
      </c>
      <c r="D9" s="3">
        <f t="shared" si="0"/>
        <v>1.1146630141300604E-2</v>
      </c>
      <c r="E9" s="3">
        <f t="shared" si="1"/>
        <v>1.118101984410943E-2</v>
      </c>
      <c r="F9" s="2">
        <v>8135240.1489769109</v>
      </c>
      <c r="G9" s="2">
        <v>8342349.3700384162</v>
      </c>
      <c r="H9" s="3">
        <f t="shared" si="2"/>
        <v>1.0383293888351472E-2</v>
      </c>
      <c r="I9" s="3">
        <f t="shared" si="3"/>
        <v>1.0345558598294028E-2</v>
      </c>
      <c r="J9" s="2">
        <v>7785310.5156685682</v>
      </c>
      <c r="K9" s="2">
        <v>7978407.6874755248</v>
      </c>
      <c r="L9" s="3">
        <f t="shared" si="4"/>
        <v>9.9366663572219138E-3</v>
      </c>
      <c r="M9" s="3">
        <f t="shared" si="5"/>
        <v>9.8942253063992076E-3</v>
      </c>
    </row>
    <row r="10" spans="1:17" x14ac:dyDescent="0.25">
      <c r="A10" t="s">
        <v>13</v>
      </c>
      <c r="B10" s="2">
        <v>516784</v>
      </c>
      <c r="C10" s="2">
        <v>516784</v>
      </c>
      <c r="D10" s="3">
        <f t="shared" si="0"/>
        <v>6.5958964339517918E-4</v>
      </c>
      <c r="E10" s="3">
        <f t="shared" si="1"/>
        <v>6.4087691818116225E-4</v>
      </c>
      <c r="F10" s="2">
        <v>1181475.14552</v>
      </c>
      <c r="G10" s="2">
        <v>1489379.9081400002</v>
      </c>
      <c r="H10" s="3">
        <f t="shared" si="2"/>
        <v>1.5079583925079038E-3</v>
      </c>
      <c r="I10" s="3">
        <f t="shared" si="3"/>
        <v>1.8470177202268376E-3</v>
      </c>
      <c r="J10" s="2">
        <v>1339325</v>
      </c>
      <c r="K10" s="2">
        <v>1339325</v>
      </c>
      <c r="L10" s="3">
        <f t="shared" si="4"/>
        <v>1.7094277282970224E-3</v>
      </c>
      <c r="M10" s="3">
        <f t="shared" si="5"/>
        <v>1.6609308307590504E-3</v>
      </c>
    </row>
    <row r="11" spans="1:17" x14ac:dyDescent="0.25">
      <c r="A11" t="s">
        <v>14</v>
      </c>
      <c r="B11" s="4">
        <v>1689958.6180424246</v>
      </c>
      <c r="C11" s="4">
        <v>1826835.4929530383</v>
      </c>
      <c r="D11" s="5">
        <f t="shared" si="0"/>
        <v>2.1569537799684445E-3</v>
      </c>
      <c r="E11" s="5">
        <f t="shared" si="1"/>
        <v>2.2655049319400514E-3</v>
      </c>
      <c r="F11" s="4">
        <v>1689958.6180424246</v>
      </c>
      <c r="G11" s="4">
        <v>1826835.4929530383</v>
      </c>
      <c r="H11" s="5">
        <f t="shared" si="2"/>
        <v>2.1569537799684454E-3</v>
      </c>
      <c r="I11" s="5">
        <f t="shared" si="3"/>
        <v>2.2655049319400518E-3</v>
      </c>
      <c r="J11" s="4">
        <v>1689958.6180424246</v>
      </c>
      <c r="K11" s="4">
        <v>1826835.4929530383</v>
      </c>
      <c r="L11" s="5">
        <f t="shared" si="4"/>
        <v>2.1569537799684445E-3</v>
      </c>
      <c r="M11" s="5">
        <f t="shared" si="5"/>
        <v>2.2655049319400514E-3</v>
      </c>
    </row>
    <row r="12" spans="1:17" x14ac:dyDescent="0.25">
      <c r="A12" t="s">
        <v>15</v>
      </c>
      <c r="B12" s="6">
        <f>SUM(B4:B11)</f>
        <v>783493199.4078927</v>
      </c>
      <c r="C12" s="6">
        <f>SUM(C4:C11)</f>
        <v>806370124.02733493</v>
      </c>
      <c r="D12" s="3">
        <f t="shared" si="0"/>
        <v>1</v>
      </c>
      <c r="E12" s="3">
        <f t="shared" si="1"/>
        <v>1</v>
      </c>
      <c r="F12" s="2">
        <f>SUM(F4:F11)</f>
        <v>783493199.40789247</v>
      </c>
      <c r="G12" s="2">
        <f>SUM(G4:G11)</f>
        <v>806370124.02733481</v>
      </c>
      <c r="H12" s="7">
        <f t="shared" si="2"/>
        <v>1</v>
      </c>
      <c r="I12" s="7">
        <f t="shared" si="3"/>
        <v>1</v>
      </c>
      <c r="J12" s="2">
        <f>SUM(J4:J11)</f>
        <v>783493199.4078927</v>
      </c>
      <c r="K12" s="2">
        <f>SUM(K4:K11)</f>
        <v>806370124.02733493</v>
      </c>
      <c r="L12" s="3">
        <f>J12/$J$12</f>
        <v>1</v>
      </c>
      <c r="M12" s="3">
        <f>K12/$K$12</f>
        <v>1</v>
      </c>
    </row>
    <row r="13" spans="1:17" x14ac:dyDescent="0.25">
      <c r="D13" s="42" t="s">
        <v>16</v>
      </c>
      <c r="E13" s="42"/>
      <c r="F13" s="42" t="s">
        <v>17</v>
      </c>
      <c r="G13" s="42"/>
      <c r="H13" s="42" t="s">
        <v>18</v>
      </c>
      <c r="I13" s="42"/>
    </row>
    <row r="14" spans="1:17" x14ac:dyDescent="0.25">
      <c r="A14" s="8"/>
      <c r="B14" s="43" t="s">
        <v>0</v>
      </c>
      <c r="C14" s="43"/>
      <c r="D14" s="43" t="s">
        <v>2</v>
      </c>
      <c r="E14" s="43"/>
      <c r="F14" s="43" t="s">
        <v>3</v>
      </c>
      <c r="G14" s="43"/>
      <c r="H14" s="43" t="s">
        <v>4</v>
      </c>
      <c r="I14" s="43"/>
    </row>
    <row r="15" spans="1:17" x14ac:dyDescent="0.25">
      <c r="A15" s="8"/>
      <c r="B15" s="9" t="s">
        <v>19</v>
      </c>
      <c r="C15" s="10" t="s">
        <v>1</v>
      </c>
      <c r="D15" s="10" t="s">
        <v>19</v>
      </c>
      <c r="E15" s="10" t="s">
        <v>1</v>
      </c>
      <c r="F15" s="10" t="s">
        <v>19</v>
      </c>
      <c r="G15" s="10" t="s">
        <v>1</v>
      </c>
      <c r="H15" s="10" t="s">
        <v>19</v>
      </c>
      <c r="I15" s="10" t="s">
        <v>1</v>
      </c>
    </row>
    <row r="16" spans="1:17" x14ac:dyDescent="0.25">
      <c r="A16" s="10" t="s">
        <v>20</v>
      </c>
      <c r="B16" s="11">
        <f t="shared" ref="B16:B24" si="6">B4/1000</f>
        <v>524713.93106266484</v>
      </c>
      <c r="C16" s="12">
        <f t="shared" ref="C16:C24" si="7">D4</f>
        <v>0.66971089405652218</v>
      </c>
      <c r="D16" s="11">
        <f t="shared" ref="D16:D24" si="8">F4/1000</f>
        <v>524136.07705737505</v>
      </c>
      <c r="E16" s="12">
        <f t="shared" ref="E16:E24" si="9">H4</f>
        <v>0.66897335861176488</v>
      </c>
      <c r="F16" s="11">
        <f t="shared" ref="F16:F24" si="10">J4/1000</f>
        <v>525204.59192684328</v>
      </c>
      <c r="G16" s="12">
        <f t="shared" ref="G16:G24" si="11">L4</f>
        <v>0.67033714182044568</v>
      </c>
      <c r="H16" s="11">
        <f>'Exh JDT-5 (Rate Spread)'!E44/1000</f>
        <v>532806.43336209166</v>
      </c>
      <c r="I16" s="12">
        <f>H16/$H$24</f>
        <v>0.68003964012035856</v>
      </c>
    </row>
    <row r="17" spans="1:9" x14ac:dyDescent="0.25">
      <c r="A17" s="10" t="s">
        <v>21</v>
      </c>
      <c r="B17" s="11">
        <f t="shared" si="6"/>
        <v>198208.28911505197</v>
      </c>
      <c r="C17" s="12">
        <f t="shared" si="7"/>
        <v>0.25298022913899371</v>
      </c>
      <c r="D17" s="11">
        <f t="shared" si="8"/>
        <v>198199.61261278909</v>
      </c>
      <c r="E17" s="12">
        <f t="shared" si="9"/>
        <v>0.25296915501318201</v>
      </c>
      <c r="F17" s="11">
        <f t="shared" si="10"/>
        <v>198439.23494874887</v>
      </c>
      <c r="G17" s="12">
        <f t="shared" si="11"/>
        <v>0.25327499345075977</v>
      </c>
      <c r="H17" s="11">
        <f>'Exh JDT-5 (Rate Spread)'!F44/1000</f>
        <v>194355.32941809256</v>
      </c>
      <c r="I17" s="12">
        <f t="shared" ref="I17:I24" si="12">H17/$H$24</f>
        <v>0.2480625608045765</v>
      </c>
    </row>
    <row r="18" spans="1:9" x14ac:dyDescent="0.25">
      <c r="A18" s="10" t="s">
        <v>22</v>
      </c>
      <c r="B18" s="11">
        <f t="shared" si="6"/>
        <v>33959.553021827669</v>
      </c>
      <c r="C18" s="12">
        <f t="shared" si="7"/>
        <v>4.3343775092740858E-2</v>
      </c>
      <c r="D18" s="11">
        <f t="shared" si="8"/>
        <v>34480.126565973565</v>
      </c>
      <c r="E18" s="12">
        <f t="shared" si="9"/>
        <v>4.4008201464966326E-2</v>
      </c>
      <c r="F18" s="11">
        <f t="shared" si="10"/>
        <v>33995.979064709645</v>
      </c>
      <c r="G18" s="12">
        <f t="shared" si="11"/>
        <v>4.3390266935821958E-2</v>
      </c>
      <c r="H18" s="11">
        <f>'Exh JDT-5 (Rate Spread)'!G44/1000</f>
        <v>32363.080945280006</v>
      </c>
      <c r="I18" s="12">
        <f t="shared" si="12"/>
        <v>4.130614148245023E-2</v>
      </c>
    </row>
    <row r="19" spans="1:9" x14ac:dyDescent="0.25">
      <c r="A19" s="10" t="s">
        <v>23</v>
      </c>
      <c r="B19" s="11">
        <f t="shared" si="6"/>
        <v>14085.786611007647</v>
      </c>
      <c r="C19" s="12">
        <f t="shared" si="7"/>
        <v>1.7978186181644793E-2</v>
      </c>
      <c r="D19" s="11">
        <f t="shared" si="8"/>
        <v>14085.170010360156</v>
      </c>
      <c r="E19" s="12">
        <f t="shared" si="9"/>
        <v>1.7977399192494217E-2</v>
      </c>
      <c r="F19" s="11">
        <f t="shared" si="10"/>
        <v>13479.309791540329</v>
      </c>
      <c r="G19" s="12">
        <f t="shared" si="11"/>
        <v>1.7204118429779622E-2</v>
      </c>
      <c r="H19" s="11">
        <f>'Exh JDT-5 (Rate Spread)'!H44/1000</f>
        <v>13811.973803508554</v>
      </c>
      <c r="I19" s="12">
        <f t="shared" si="12"/>
        <v>1.7628709239527085E-2</v>
      </c>
    </row>
    <row r="20" spans="1:9" x14ac:dyDescent="0.25">
      <c r="A20" s="10" t="s">
        <v>24</v>
      </c>
      <c r="B20" s="11">
        <f t="shared" si="6"/>
        <v>1585.5880672739988</v>
      </c>
      <c r="C20" s="12">
        <f t="shared" si="7"/>
        <v>2.023741965434124E-3</v>
      </c>
      <c r="D20" s="11">
        <f t="shared" si="8"/>
        <v>1585.5392488553668</v>
      </c>
      <c r="E20" s="12">
        <f t="shared" si="9"/>
        <v>2.0236796567648613E-3</v>
      </c>
      <c r="F20" s="11">
        <f t="shared" si="10"/>
        <v>1559.4895423395158</v>
      </c>
      <c r="G20" s="12">
        <f t="shared" si="11"/>
        <v>1.9904314977054875E-3</v>
      </c>
      <c r="H20" s="11">
        <f>'Exh JDT-5 (Rate Spread)'!I44/1000</f>
        <v>1305.2486713259379</v>
      </c>
      <c r="I20" s="12">
        <f t="shared" si="12"/>
        <v>1.6659349083212851E-3</v>
      </c>
    </row>
    <row r="21" spans="1:9" x14ac:dyDescent="0.25">
      <c r="A21" s="10" t="s">
        <v>25</v>
      </c>
      <c r="B21" s="11">
        <f t="shared" si="6"/>
        <v>8733.308912024062</v>
      </c>
      <c r="C21" s="12">
        <f t="shared" si="7"/>
        <v>1.1146630141300604E-2</v>
      </c>
      <c r="D21" s="11">
        <f t="shared" si="8"/>
        <v>8135.2401489769109</v>
      </c>
      <c r="E21" s="12">
        <f t="shared" si="9"/>
        <v>1.0383293888351472E-2</v>
      </c>
      <c r="F21" s="11">
        <f t="shared" si="10"/>
        <v>7785.3105156685679</v>
      </c>
      <c r="G21" s="12">
        <f t="shared" si="11"/>
        <v>9.9366663572219138E-3</v>
      </c>
      <c r="H21" s="11">
        <f>'Exh JDT-5 (Rate Spread)'!J44/1000</f>
        <v>5713.1162829686127</v>
      </c>
      <c r="I21" s="12">
        <f t="shared" si="12"/>
        <v>7.2918517828695533E-3</v>
      </c>
    </row>
    <row r="22" spans="1:9" x14ac:dyDescent="0.25">
      <c r="A22" s="10" t="s">
        <v>26</v>
      </c>
      <c r="B22" s="11">
        <f t="shared" si="6"/>
        <v>516.78399999999999</v>
      </c>
      <c r="C22" s="12">
        <f t="shared" si="7"/>
        <v>6.5958964339517918E-4</v>
      </c>
      <c r="D22" s="11">
        <f t="shared" si="8"/>
        <v>1181.4751455200001</v>
      </c>
      <c r="E22" s="12">
        <f t="shared" si="9"/>
        <v>1.5079583925079038E-3</v>
      </c>
      <c r="F22" s="11">
        <f t="shared" si="10"/>
        <v>1339.325</v>
      </c>
      <c r="G22" s="12">
        <f t="shared" si="11"/>
        <v>1.7094277282970224E-3</v>
      </c>
      <c r="H22" s="11">
        <f>'Exh JDT-5 (Rate Spread)'!K44/1000</f>
        <v>1571.2996265828344</v>
      </c>
      <c r="I22" s="12">
        <f t="shared" si="12"/>
        <v>2.0055051247034545E-3</v>
      </c>
    </row>
    <row r="23" spans="1:9" x14ac:dyDescent="0.25">
      <c r="A23" s="10" t="s">
        <v>14</v>
      </c>
      <c r="B23" s="11">
        <f t="shared" si="6"/>
        <v>1689.9586180424246</v>
      </c>
      <c r="C23" s="12">
        <f t="shared" si="7"/>
        <v>2.1569537799684445E-3</v>
      </c>
      <c r="D23" s="11">
        <f t="shared" si="8"/>
        <v>1689.9586180424246</v>
      </c>
      <c r="E23" s="12">
        <f t="shared" si="9"/>
        <v>2.1569537799684454E-3</v>
      </c>
      <c r="F23" s="11">
        <f t="shared" si="10"/>
        <v>1689.9586180424246</v>
      </c>
      <c r="G23" s="12">
        <f t="shared" si="11"/>
        <v>2.1569537799684445E-3</v>
      </c>
      <c r="H23" s="11">
        <f>'Exh JDT-5 (Rate Spread)'!L44/1000</f>
        <v>1566.7172980424243</v>
      </c>
      <c r="I23" s="12">
        <f t="shared" si="12"/>
        <v>1.9996565371932207E-3</v>
      </c>
    </row>
    <row r="24" spans="1:9" x14ac:dyDescent="0.25">
      <c r="A24" s="10" t="s">
        <v>15</v>
      </c>
      <c r="B24" s="13">
        <f t="shared" si="6"/>
        <v>783493.19940789265</v>
      </c>
      <c r="C24" s="14">
        <f t="shared" si="7"/>
        <v>1</v>
      </c>
      <c r="D24" s="13">
        <f t="shared" si="8"/>
        <v>783493.19940789242</v>
      </c>
      <c r="E24" s="14">
        <f t="shared" si="9"/>
        <v>1</v>
      </c>
      <c r="F24" s="13">
        <f t="shared" si="10"/>
        <v>783493.19940789265</v>
      </c>
      <c r="G24" s="14">
        <f t="shared" si="11"/>
        <v>1</v>
      </c>
      <c r="H24" s="13">
        <f>SUM(H16:H23)</f>
        <v>783493.19940789265</v>
      </c>
      <c r="I24" s="14">
        <f t="shared" si="12"/>
        <v>1</v>
      </c>
    </row>
    <row r="25" spans="1:9" x14ac:dyDescent="0.25">
      <c r="A25" s="15"/>
      <c r="B25" s="16"/>
      <c r="C25" s="17"/>
      <c r="D25" s="16"/>
      <c r="E25" s="17"/>
      <c r="F25" s="16"/>
      <c r="G25" s="17"/>
      <c r="H25" s="16"/>
      <c r="I25" s="17"/>
    </row>
    <row r="26" spans="1:9" x14ac:dyDescent="0.25">
      <c r="A26" s="18" t="s">
        <v>16</v>
      </c>
      <c r="B26" s="19" t="s">
        <v>27</v>
      </c>
      <c r="C26" s="17"/>
      <c r="D26" s="16"/>
      <c r="E26" s="17"/>
      <c r="F26" s="16"/>
      <c r="G26" s="17"/>
      <c r="H26" s="16"/>
      <c r="I26" s="17"/>
    </row>
    <row r="27" spans="1:9" x14ac:dyDescent="0.25">
      <c r="A27" s="18" t="s">
        <v>17</v>
      </c>
      <c r="B27" s="19" t="s">
        <v>28</v>
      </c>
      <c r="C27" s="17"/>
      <c r="D27" s="16"/>
      <c r="E27" s="17"/>
      <c r="F27" s="16"/>
      <c r="G27" s="17"/>
      <c r="H27" s="16"/>
      <c r="I27" s="17"/>
    </row>
    <row r="28" spans="1:9" x14ac:dyDescent="0.25">
      <c r="A28" s="18" t="s">
        <v>18</v>
      </c>
      <c r="B28" s="19" t="s">
        <v>29</v>
      </c>
      <c r="C28" s="17"/>
      <c r="D28" s="16"/>
      <c r="E28" s="17"/>
      <c r="F28" s="16"/>
      <c r="G28" s="17"/>
      <c r="H28" s="16"/>
      <c r="I28" s="17"/>
    </row>
    <row r="29" spans="1:9" x14ac:dyDescent="0.25">
      <c r="A29" s="15"/>
      <c r="B29" s="16"/>
      <c r="C29" s="17"/>
      <c r="D29" s="16"/>
      <c r="E29" s="17"/>
      <c r="F29" s="16"/>
      <c r="G29" s="17"/>
      <c r="H29" s="16"/>
      <c r="I29" s="17"/>
    </row>
    <row r="31" spans="1:9" x14ac:dyDescent="0.25">
      <c r="A31" s="8"/>
      <c r="B31" s="10" t="s">
        <v>30</v>
      </c>
      <c r="C31" s="8"/>
    </row>
    <row r="32" spans="1:9" x14ac:dyDescent="0.25">
      <c r="A32" s="8"/>
      <c r="B32" s="9" t="s">
        <v>19</v>
      </c>
      <c r="C32" s="10" t="s">
        <v>1</v>
      </c>
    </row>
    <row r="33" spans="1:3" x14ac:dyDescent="0.25">
      <c r="A33" s="10" t="s">
        <v>20</v>
      </c>
      <c r="B33" s="20">
        <f t="shared" ref="B33:B41" si="13">AVERAGE(B16,D16,F16,H16)</f>
        <v>526715.25835224381</v>
      </c>
      <c r="C33" s="12">
        <f>B33/$B$41</f>
        <v>0.67226525865227293</v>
      </c>
    </row>
    <row r="34" spans="1:3" x14ac:dyDescent="0.25">
      <c r="A34" s="10" t="s">
        <v>21</v>
      </c>
      <c r="B34" s="20">
        <f t="shared" si="13"/>
        <v>197300.61652367061</v>
      </c>
      <c r="C34" s="12">
        <f t="shared" ref="C34:C41" si="14">B34/$B$41</f>
        <v>0.25182173460187801</v>
      </c>
    </row>
    <row r="35" spans="1:3" x14ac:dyDescent="0.25">
      <c r="A35" s="10" t="s">
        <v>22</v>
      </c>
      <c r="B35" s="20">
        <f t="shared" si="13"/>
        <v>33699.684899447719</v>
      </c>
      <c r="C35" s="12">
        <f t="shared" si="14"/>
        <v>4.3012096243994838E-2</v>
      </c>
    </row>
    <row r="36" spans="1:3" x14ac:dyDescent="0.25">
      <c r="A36" s="10" t="s">
        <v>23</v>
      </c>
      <c r="B36" s="20">
        <f t="shared" si="13"/>
        <v>13865.560054104171</v>
      </c>
      <c r="C36" s="12">
        <f t="shared" si="14"/>
        <v>1.7697103260861428E-2</v>
      </c>
    </row>
    <row r="37" spans="1:3" x14ac:dyDescent="0.25">
      <c r="A37" s="10" t="s">
        <v>24</v>
      </c>
      <c r="B37" s="20">
        <f t="shared" si="13"/>
        <v>1508.9663824487047</v>
      </c>
      <c r="C37" s="12">
        <f t="shared" si="14"/>
        <v>1.9259470070564391E-3</v>
      </c>
    </row>
    <row r="38" spans="1:3" x14ac:dyDescent="0.25">
      <c r="A38" s="10" t="s">
        <v>25</v>
      </c>
      <c r="B38" s="20">
        <f t="shared" si="13"/>
        <v>7591.7439649095377</v>
      </c>
      <c r="C38" s="12">
        <f t="shared" si="14"/>
        <v>9.6896105424358857E-3</v>
      </c>
    </row>
    <row r="39" spans="1:3" x14ac:dyDescent="0.25">
      <c r="A39" s="10" t="s">
        <v>26</v>
      </c>
      <c r="B39" s="20">
        <f t="shared" si="13"/>
        <v>1152.2209430257085</v>
      </c>
      <c r="C39" s="12">
        <f t="shared" si="14"/>
        <v>1.4706202222258898E-3</v>
      </c>
    </row>
    <row r="40" spans="1:3" x14ac:dyDescent="0.25">
      <c r="A40" s="10" t="s">
        <v>14</v>
      </c>
      <c r="B40" s="20">
        <f t="shared" si="13"/>
        <v>1659.1482880424246</v>
      </c>
      <c r="C40" s="12">
        <f t="shared" si="14"/>
        <v>2.1176294692746389E-3</v>
      </c>
    </row>
    <row r="41" spans="1:3" x14ac:dyDescent="0.25">
      <c r="A41" s="10" t="s">
        <v>15</v>
      </c>
      <c r="B41" s="21">
        <f t="shared" si="13"/>
        <v>783493.19940789265</v>
      </c>
      <c r="C41" s="14">
        <f t="shared" si="14"/>
        <v>1</v>
      </c>
    </row>
  </sheetData>
  <mergeCells count="13">
    <mergeCell ref="L2:M2"/>
    <mergeCell ref="B2:C2"/>
    <mergeCell ref="D2:E2"/>
    <mergeCell ref="F2:G2"/>
    <mergeCell ref="H2:I2"/>
    <mergeCell ref="J2:K2"/>
    <mergeCell ref="D13:E13"/>
    <mergeCell ref="F13:G13"/>
    <mergeCell ref="H13:I13"/>
    <mergeCell ref="B14:C14"/>
    <mergeCell ref="D14:E14"/>
    <mergeCell ref="F14:G14"/>
    <mergeCell ref="H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8845-E0A5-4F14-A7AE-342AD03254DD}">
  <sheetPr>
    <pageSetUpPr fitToPage="1"/>
  </sheetPr>
  <dimension ref="A1:L48"/>
  <sheetViews>
    <sheetView tabSelected="1" topLeftCell="B1" zoomScale="90" zoomScaleNormal="90" zoomScaleSheetLayoutView="85" workbookViewId="0">
      <pane ySplit="6" topLeftCell="A16" activePane="bottomLeft" state="frozen"/>
      <selection pane="bottomLeft" activeCell="K41" sqref="K41"/>
    </sheetView>
  </sheetViews>
  <sheetFormatPr defaultColWidth="9.140625" defaultRowHeight="12.75" x14ac:dyDescent="0.2"/>
  <cols>
    <col min="1" max="1" width="5.5703125" style="23" customWidth="1"/>
    <col min="2" max="2" width="44.5703125" style="23" bestFit="1" customWidth="1"/>
    <col min="3" max="3" width="16.42578125" style="23" customWidth="1"/>
    <col min="4" max="4" width="7.85546875" style="23" customWidth="1"/>
    <col min="5" max="6" width="16" style="23" customWidth="1"/>
    <col min="7" max="7" width="16.85546875" style="23" bestFit="1" customWidth="1"/>
    <col min="8" max="12" width="16" style="23" customWidth="1"/>
    <col min="13" max="13" width="9.140625" style="23"/>
    <col min="14" max="14" width="11.85546875" style="23" bestFit="1" customWidth="1"/>
    <col min="15" max="16384" width="9.140625" style="23"/>
  </cols>
  <sheetData>
    <row r="1" spans="1:12" x14ac:dyDescent="0.2">
      <c r="A1" s="22" t="s">
        <v>64</v>
      </c>
    </row>
    <row r="2" spans="1:12" x14ac:dyDescent="0.2">
      <c r="A2" s="22" t="s">
        <v>65</v>
      </c>
    </row>
    <row r="3" spans="1:12" x14ac:dyDescent="0.2">
      <c r="A3" s="22" t="s">
        <v>66</v>
      </c>
    </row>
    <row r="4" spans="1:12" x14ac:dyDescent="0.2">
      <c r="A4" s="22" t="s">
        <v>31</v>
      </c>
    </row>
    <row r="5" spans="1:12" x14ac:dyDescent="0.2">
      <c r="B5" s="22"/>
    </row>
    <row r="6" spans="1:12" ht="38.25" x14ac:dyDescent="0.2">
      <c r="A6" s="24" t="s">
        <v>32</v>
      </c>
      <c r="B6" s="25" t="s">
        <v>33</v>
      </c>
      <c r="C6" s="26" t="s">
        <v>15</v>
      </c>
      <c r="D6" s="27" t="s">
        <v>34</v>
      </c>
      <c r="E6" s="27" t="s">
        <v>20</v>
      </c>
      <c r="F6" s="27" t="s">
        <v>21</v>
      </c>
      <c r="G6" s="27" t="s">
        <v>22</v>
      </c>
      <c r="H6" s="27" t="s">
        <v>23</v>
      </c>
      <c r="I6" s="27" t="s">
        <v>24</v>
      </c>
      <c r="J6" s="27" t="s">
        <v>25</v>
      </c>
      <c r="K6" s="27" t="s">
        <v>26</v>
      </c>
      <c r="L6" s="27" t="s">
        <v>14</v>
      </c>
    </row>
    <row r="7" spans="1:12" x14ac:dyDescent="0.2">
      <c r="B7" s="28" t="s">
        <v>35</v>
      </c>
      <c r="C7" s="28" t="s">
        <v>36</v>
      </c>
      <c r="D7" s="28" t="s">
        <v>37</v>
      </c>
      <c r="E7" s="28" t="s">
        <v>38</v>
      </c>
      <c r="F7" s="28" t="s">
        <v>39</v>
      </c>
      <c r="G7" s="28" t="s">
        <v>40</v>
      </c>
      <c r="H7" s="28" t="s">
        <v>41</v>
      </c>
      <c r="I7" s="28" t="s">
        <v>42</v>
      </c>
      <c r="J7" s="28" t="s">
        <v>43</v>
      </c>
      <c r="K7" s="28" t="s">
        <v>44</v>
      </c>
      <c r="L7" s="28" t="s">
        <v>45</v>
      </c>
    </row>
    <row r="8" spans="1:12" x14ac:dyDescent="0.2">
      <c r="A8" s="28">
        <f>IF(B8="","",MAX($A$1:A7)+1)</f>
        <v>1</v>
      </c>
      <c r="B8" s="29" t="s">
        <v>46</v>
      </c>
      <c r="C8" s="30">
        <v>1</v>
      </c>
      <c r="D8" s="31"/>
      <c r="E8" s="32">
        <v>1.0882281360131625</v>
      </c>
      <c r="F8" s="32">
        <v>0.80602820698281685</v>
      </c>
      <c r="G8" s="32">
        <v>0.92802956307953088</v>
      </c>
      <c r="H8" s="32">
        <v>0.83447352760244431</v>
      </c>
      <c r="I8" s="32">
        <v>1.2914100185476731</v>
      </c>
      <c r="J8" s="32">
        <v>1.4674079466445058</v>
      </c>
      <c r="K8" s="32">
        <v>1.1538165392707636</v>
      </c>
      <c r="L8" s="32">
        <v>2.264002773322157</v>
      </c>
    </row>
    <row r="9" spans="1:12" x14ac:dyDescent="0.2">
      <c r="A9" s="28">
        <f>IF(B9="","",MAX($A$1:A8)+1)</f>
        <v>2</v>
      </c>
      <c r="B9" s="29" t="s">
        <v>47</v>
      </c>
      <c r="C9" s="33"/>
      <c r="D9" s="31"/>
      <c r="E9" s="30">
        <v>0.9</v>
      </c>
      <c r="F9" s="30">
        <v>1.25</v>
      </c>
      <c r="G9" s="30">
        <v>1.1000000000000001</v>
      </c>
      <c r="H9" s="30">
        <v>1.25</v>
      </c>
      <c r="I9" s="30">
        <v>0.75</v>
      </c>
      <c r="J9" s="30">
        <v>1.5</v>
      </c>
      <c r="K9" s="30">
        <v>0</v>
      </c>
      <c r="L9" s="30">
        <v>0</v>
      </c>
    </row>
    <row r="10" spans="1:12" x14ac:dyDescent="0.2">
      <c r="A10" s="28" t="str">
        <f>IF(B10="","",MAX($A$1:A9)+1)</f>
        <v/>
      </c>
      <c r="C10" s="33"/>
      <c r="D10" s="31"/>
      <c r="E10" s="33"/>
      <c r="F10" s="33"/>
      <c r="G10" s="33"/>
      <c r="H10" s="33"/>
      <c r="I10" s="33"/>
      <c r="J10" s="33"/>
      <c r="K10" s="33"/>
      <c r="L10" s="33"/>
    </row>
    <row r="11" spans="1:12" x14ac:dyDescent="0.2">
      <c r="A11" s="28">
        <f>IF(B11="","",MAX($A$1:A10)+1)</f>
        <v>3</v>
      </c>
      <c r="B11" s="29" t="s">
        <v>48</v>
      </c>
      <c r="C11" s="33"/>
      <c r="D11" s="31"/>
      <c r="E11" s="33"/>
      <c r="F11" s="33"/>
      <c r="G11" s="33"/>
      <c r="H11" s="33"/>
      <c r="I11" s="33"/>
      <c r="J11" s="33"/>
      <c r="K11" s="33"/>
      <c r="L11" s="33"/>
    </row>
    <row r="12" spans="1:12" x14ac:dyDescent="0.2">
      <c r="A12" s="28">
        <f>IF(B12="","",MAX($A$1:A11)+1)</f>
        <v>4</v>
      </c>
      <c r="B12" s="23" t="s">
        <v>49</v>
      </c>
      <c r="C12" s="34">
        <f>SUM(E12:L12)</f>
        <v>535878245.40789253</v>
      </c>
      <c r="D12" s="31">
        <f>IFERROR(IF(C12="","",IF(C12=0,0,IF(ABS(C12-SUM($E12:$L12))&lt;1,0,1))),1)</f>
        <v>0</v>
      </c>
      <c r="E12" s="35">
        <v>370022538.77474952</v>
      </c>
      <c r="F12" s="35">
        <v>125397647.04870005</v>
      </c>
      <c r="G12" s="35">
        <v>22475459.424130213</v>
      </c>
      <c r="H12" s="35">
        <v>8911456.2551173642</v>
      </c>
      <c r="I12" s="35">
        <v>1175918.3296823071</v>
      </c>
      <c r="J12" s="35">
        <v>5147033.1319507072</v>
      </c>
      <c r="K12" s="35">
        <v>1181475.14552</v>
      </c>
      <c r="L12" s="35">
        <v>1566717.2980424243</v>
      </c>
    </row>
    <row r="13" spans="1:12" x14ac:dyDescent="0.2">
      <c r="A13" s="28">
        <f>IF(B13="","",MAX($A$1:A12)+1)</f>
        <v>5</v>
      </c>
      <c r="B13" s="23" t="s">
        <v>50</v>
      </c>
      <c r="C13" s="35">
        <v>247614954</v>
      </c>
      <c r="D13" s="31"/>
      <c r="E13" s="33"/>
      <c r="F13" s="33"/>
      <c r="G13" s="33"/>
      <c r="H13" s="33"/>
      <c r="I13" s="33"/>
      <c r="J13" s="33"/>
      <c r="K13" s="33"/>
      <c r="L13" s="33"/>
    </row>
    <row r="14" spans="1:12" x14ac:dyDescent="0.2">
      <c r="A14" s="28">
        <f>IF(B14="","",MAX($A$1:A13)+1)</f>
        <v>6</v>
      </c>
      <c r="B14" s="23" t="s">
        <v>51</v>
      </c>
      <c r="C14" s="33">
        <f>C13/SUM(E12:J12)</f>
        <v>0.4644550661197992</v>
      </c>
      <c r="D14" s="31"/>
      <c r="E14" s="33"/>
      <c r="F14" s="33"/>
      <c r="G14" s="33"/>
      <c r="H14" s="33"/>
      <c r="I14" s="33"/>
      <c r="J14" s="33"/>
      <c r="K14" s="33"/>
      <c r="L14" s="33"/>
    </row>
    <row r="15" spans="1:12" x14ac:dyDescent="0.2">
      <c r="A15" s="28">
        <f>IF(B15="","",MAX($A$1:A14)+1)</f>
        <v>7</v>
      </c>
      <c r="B15" s="23" t="s">
        <v>52</v>
      </c>
      <c r="C15" s="33"/>
      <c r="D15" s="31" t="str">
        <f t="shared" ref="D15:D36" si="0">IFERROR(IF(C15="","",IF(C15=0,0,IF(ABS(C15-SUM($E15:$L15))&lt;1,0,1))),1)</f>
        <v/>
      </c>
      <c r="E15" s="33">
        <f>$C14*E$9</f>
        <v>0.41800955950781926</v>
      </c>
      <c r="F15" s="33">
        <f t="shared" ref="F15:K15" si="1">$C14*F$9</f>
        <v>0.58056883264974901</v>
      </c>
      <c r="G15" s="33">
        <f t="shared" si="1"/>
        <v>0.51090057273177913</v>
      </c>
      <c r="H15" s="33">
        <f t="shared" si="1"/>
        <v>0.58056883264974901</v>
      </c>
      <c r="I15" s="33">
        <f t="shared" si="1"/>
        <v>0.34834129958984938</v>
      </c>
      <c r="J15" s="33">
        <f t="shared" si="1"/>
        <v>0.69668259917969877</v>
      </c>
      <c r="K15" s="33">
        <f t="shared" si="1"/>
        <v>0</v>
      </c>
      <c r="L15" s="33">
        <f>$C14*L$9</f>
        <v>0</v>
      </c>
    </row>
    <row r="16" spans="1:12" x14ac:dyDescent="0.2">
      <c r="A16" s="28">
        <f>IF(B16="","",MAX($A$1:A15)+1)</f>
        <v>8</v>
      </c>
      <c r="B16" s="23" t="s">
        <v>53</v>
      </c>
      <c r="C16" s="34">
        <f>SUM(E16:L16)</f>
        <v>247585382.36681232</v>
      </c>
      <c r="D16" s="31">
        <f t="shared" si="0"/>
        <v>0</v>
      </c>
      <c r="E16" s="36">
        <f>E12*E15</f>
        <v>154672958.44119802</v>
      </c>
      <c r="F16" s="36">
        <f t="shared" ref="F16:J16" si="2">F12*F15</f>
        <v>72801965.56408903</v>
      </c>
      <c r="G16" s="36">
        <f t="shared" si="2"/>
        <v>11482725.092197988</v>
      </c>
      <c r="H16" s="36">
        <f t="shared" si="2"/>
        <v>5173713.755242792</v>
      </c>
      <c r="I16" s="36">
        <f t="shared" si="2"/>
        <v>409620.91917305981</v>
      </c>
      <c r="J16" s="36">
        <f t="shared" si="2"/>
        <v>3585848.420431444</v>
      </c>
      <c r="K16" s="37">
        <v>-664691.14552000002</v>
      </c>
      <c r="L16" s="37">
        <v>123241.32000000037</v>
      </c>
    </row>
    <row r="17" spans="1:12" x14ac:dyDescent="0.2">
      <c r="A17" s="28">
        <f>IF(B17="","",MAX($A$1:A16)+1)</f>
        <v>9</v>
      </c>
      <c r="B17" s="23" t="s">
        <v>54</v>
      </c>
      <c r="C17" s="34">
        <f>C13-C16</f>
        <v>29571.633187681437</v>
      </c>
      <c r="D17" s="31"/>
      <c r="E17" s="33"/>
      <c r="F17" s="33"/>
      <c r="G17" s="33"/>
      <c r="H17" s="33"/>
      <c r="I17" s="33"/>
      <c r="J17" s="33"/>
      <c r="K17" s="33"/>
      <c r="L17" s="33"/>
    </row>
    <row r="18" spans="1:12" x14ac:dyDescent="0.2">
      <c r="A18" s="28">
        <f>IF(B18="","",MAX($A$1:A17)+1)</f>
        <v>10</v>
      </c>
      <c r="B18" s="23" t="s">
        <v>55</v>
      </c>
      <c r="C18" s="34">
        <f>SUM(E18:L18)</f>
        <v>29571.63318768144</v>
      </c>
      <c r="D18" s="31">
        <f t="shared" si="0"/>
        <v>0</v>
      </c>
      <c r="E18" s="34">
        <f>$C17*(E16/SUM($E16:$J16))</f>
        <v>18433.846717275537</v>
      </c>
      <c r="F18" s="34">
        <f t="shared" ref="F18:J18" si="3">$C17*(F16/SUM($E16:$J16))</f>
        <v>8676.5022629019204</v>
      </c>
      <c r="G18" s="34">
        <f t="shared" si="3"/>
        <v>1368.5054994707568</v>
      </c>
      <c r="H18" s="34">
        <f t="shared" si="3"/>
        <v>616.60064748462776</v>
      </c>
      <c r="I18" s="34">
        <f t="shared" si="3"/>
        <v>48.818418631957023</v>
      </c>
      <c r="J18" s="34">
        <f t="shared" si="3"/>
        <v>427.35964191664073</v>
      </c>
      <c r="K18" s="33"/>
      <c r="L18" s="33"/>
    </row>
    <row r="19" spans="1:12" x14ac:dyDescent="0.2">
      <c r="A19" s="28">
        <f>IF(B19="","",MAX($A$1:A18)+1)</f>
        <v>11</v>
      </c>
      <c r="B19" s="23" t="s">
        <v>56</v>
      </c>
      <c r="C19" s="34">
        <f>SUM(E19:L19)</f>
        <v>247614954.00000003</v>
      </c>
      <c r="D19" s="31">
        <f t="shared" si="0"/>
        <v>0</v>
      </c>
      <c r="E19" s="34">
        <f>SUM(E16,E18)</f>
        <v>154691392.28791529</v>
      </c>
      <c r="F19" s="34">
        <f t="shared" ref="F19:L19" si="4">SUM(F16,F18)</f>
        <v>72810642.066351935</v>
      </c>
      <c r="G19" s="34">
        <f t="shared" si="4"/>
        <v>11484093.597697459</v>
      </c>
      <c r="H19" s="34">
        <f t="shared" si="4"/>
        <v>5174330.3558902768</v>
      </c>
      <c r="I19" s="34">
        <f t="shared" si="4"/>
        <v>409669.73759169178</v>
      </c>
      <c r="J19" s="34">
        <f t="shared" si="4"/>
        <v>3586275.7800733605</v>
      </c>
      <c r="K19" s="34">
        <f t="shared" si="4"/>
        <v>-664691.14552000002</v>
      </c>
      <c r="L19" s="34">
        <f t="shared" si="4"/>
        <v>123241.32000000037</v>
      </c>
    </row>
    <row r="20" spans="1:12" x14ac:dyDescent="0.2">
      <c r="A20" s="28">
        <f>IF(B20="","",MAX($A$1:A19)+1)</f>
        <v>12</v>
      </c>
      <c r="B20" s="23" t="s">
        <v>57</v>
      </c>
      <c r="C20" s="34">
        <f>SUM(E20:L20)</f>
        <v>783493199.40789258</v>
      </c>
      <c r="D20" s="31">
        <f t="shared" si="0"/>
        <v>0</v>
      </c>
      <c r="E20" s="34">
        <f>E12+E19</f>
        <v>524713931.06266481</v>
      </c>
      <c r="F20" s="34">
        <f t="shared" ref="F20:L20" si="5">F12+F19</f>
        <v>198208289.11505198</v>
      </c>
      <c r="G20" s="34">
        <f t="shared" si="5"/>
        <v>33959553.021827668</v>
      </c>
      <c r="H20" s="34">
        <f t="shared" si="5"/>
        <v>14085786.611007642</v>
      </c>
      <c r="I20" s="34">
        <f t="shared" si="5"/>
        <v>1585588.0672739989</v>
      </c>
      <c r="J20" s="34">
        <f t="shared" si="5"/>
        <v>8733308.9120240677</v>
      </c>
      <c r="K20" s="34">
        <f t="shared" si="5"/>
        <v>516784</v>
      </c>
      <c r="L20" s="34">
        <f t="shared" si="5"/>
        <v>1689958.6180424246</v>
      </c>
    </row>
    <row r="21" spans="1:12" x14ac:dyDescent="0.2">
      <c r="A21" s="28">
        <f>IF(B21="","",MAX($A$1:A20)+1)</f>
        <v>13</v>
      </c>
      <c r="B21" s="23" t="s">
        <v>58</v>
      </c>
      <c r="C21" s="33"/>
      <c r="D21" s="31" t="str">
        <f t="shared" si="0"/>
        <v/>
      </c>
      <c r="E21" s="33">
        <f>E19/E12</f>
        <v>0.41805937768045898</v>
      </c>
      <c r="F21" s="33">
        <f t="shared" ref="F21:L21" si="6">F19/F12</f>
        <v>0.58063802455619307</v>
      </c>
      <c r="G21" s="33">
        <f t="shared" si="6"/>
        <v>0.51096146160944989</v>
      </c>
      <c r="H21" s="33">
        <f t="shared" si="6"/>
        <v>0.58063802455619307</v>
      </c>
      <c r="I21" s="33">
        <f t="shared" si="6"/>
        <v>0.34838281473371585</v>
      </c>
      <c r="J21" s="33">
        <f t="shared" si="6"/>
        <v>0.69676562946743159</v>
      </c>
      <c r="K21" s="33">
        <f t="shared" si="6"/>
        <v>-0.56259426873296681</v>
      </c>
      <c r="L21" s="33">
        <f t="shared" si="6"/>
        <v>7.8662130145615586E-2</v>
      </c>
    </row>
    <row r="22" spans="1:12" x14ac:dyDescent="0.2">
      <c r="A22" s="28">
        <f>IF(B22="","",MAX($A$1:A21)+1)</f>
        <v>14</v>
      </c>
      <c r="B22" s="23" t="s">
        <v>59</v>
      </c>
      <c r="C22" s="33"/>
      <c r="D22" s="31" t="str">
        <f t="shared" si="0"/>
        <v/>
      </c>
      <c r="E22" s="30">
        <f>E21/$C14</f>
        <v>0.90010726155504317</v>
      </c>
      <c r="F22" s="30">
        <f t="shared" ref="F22:L22" si="7">F21/$C14</f>
        <v>1.2501489743820045</v>
      </c>
      <c r="G22" s="30">
        <f t="shared" si="7"/>
        <v>1.100131097456164</v>
      </c>
      <c r="H22" s="30">
        <f t="shared" si="7"/>
        <v>1.2501489743820045</v>
      </c>
      <c r="I22" s="30">
        <f t="shared" si="7"/>
        <v>0.75008938462920272</v>
      </c>
      <c r="J22" s="30">
        <f t="shared" si="7"/>
        <v>1.5001787692584052</v>
      </c>
      <c r="K22" s="30">
        <f t="shared" si="7"/>
        <v>-1.2112996708875474</v>
      </c>
      <c r="L22" s="30">
        <f t="shared" si="7"/>
        <v>0.16936434950055185</v>
      </c>
    </row>
    <row r="23" spans="1:12" x14ac:dyDescent="0.2">
      <c r="A23" s="28" t="str">
        <f>IF(B23="","",MAX($A$1:A22)+1)</f>
        <v/>
      </c>
      <c r="C23" s="33"/>
      <c r="D23" s="31" t="str">
        <f t="shared" si="0"/>
        <v/>
      </c>
      <c r="E23" s="33"/>
      <c r="F23" s="33"/>
      <c r="G23" s="33"/>
      <c r="H23" s="33"/>
      <c r="I23" s="33"/>
      <c r="J23" s="33"/>
      <c r="K23" s="33"/>
      <c r="L23" s="33"/>
    </row>
    <row r="24" spans="1:12" x14ac:dyDescent="0.2">
      <c r="A24" s="28">
        <f>IF(B24="","",MAX($A$1:A23)+1)</f>
        <v>15</v>
      </c>
      <c r="B24" s="29" t="s">
        <v>60</v>
      </c>
      <c r="C24" s="33"/>
      <c r="D24" s="31" t="str">
        <f t="shared" si="0"/>
        <v/>
      </c>
      <c r="E24" s="33"/>
      <c r="F24" s="33"/>
      <c r="G24" s="33"/>
      <c r="H24" s="33"/>
      <c r="I24" s="33"/>
      <c r="J24" s="33"/>
      <c r="K24" s="33"/>
      <c r="L24" s="33"/>
    </row>
    <row r="25" spans="1:12" x14ac:dyDescent="0.2">
      <c r="A25" s="28">
        <f>IF(B25="","",MAX($A$1:A24)+1)</f>
        <v>16</v>
      </c>
      <c r="B25" s="23" t="s">
        <v>49</v>
      </c>
      <c r="C25" s="34">
        <f>SUM(E25:L25)</f>
        <v>533404884.02733487</v>
      </c>
      <c r="D25" s="31">
        <f t="shared" si="0"/>
        <v>0</v>
      </c>
      <c r="E25" s="35">
        <v>367451224.49354953</v>
      </c>
      <c r="F25" s="35">
        <v>125457110.59214002</v>
      </c>
      <c r="G25" s="35">
        <v>22413643.787400968</v>
      </c>
      <c r="H25" s="35">
        <v>8804975.7697971277</v>
      </c>
      <c r="I25" s="35">
        <v>1143196.9147645847</v>
      </c>
      <c r="J25" s="35">
        <v>5087802.1085896036</v>
      </c>
      <c r="K25" s="35">
        <v>1489379.9081400002</v>
      </c>
      <c r="L25" s="35">
        <v>1557550.452953038</v>
      </c>
    </row>
    <row r="26" spans="1:12" x14ac:dyDescent="0.2">
      <c r="A26" s="28">
        <f>IF(B26="","",MAX($A$1:A25)+1)</f>
        <v>17</v>
      </c>
      <c r="B26" s="23" t="s">
        <v>50</v>
      </c>
      <c r="C26" s="35">
        <v>272965240</v>
      </c>
      <c r="D26" s="31"/>
      <c r="E26" s="33"/>
      <c r="F26" s="33"/>
      <c r="G26" s="33"/>
      <c r="H26" s="33"/>
      <c r="I26" s="33"/>
      <c r="J26" s="33"/>
      <c r="K26" s="33"/>
      <c r="L26" s="33"/>
    </row>
    <row r="27" spans="1:12" x14ac:dyDescent="0.2">
      <c r="A27" s="28">
        <f>IF(B27="","",MAX($A$1:A26)+1)</f>
        <v>18</v>
      </c>
      <c r="B27" s="23" t="s">
        <v>51</v>
      </c>
      <c r="C27" s="33">
        <f>C26/SUM(E25:J25)</f>
        <v>0.51468114716307067</v>
      </c>
      <c r="D27" s="31"/>
      <c r="E27" s="33"/>
      <c r="F27" s="33"/>
      <c r="G27" s="33"/>
      <c r="H27" s="33"/>
      <c r="I27" s="33"/>
      <c r="J27" s="33"/>
      <c r="K27" s="33"/>
      <c r="L27" s="33"/>
    </row>
    <row r="28" spans="1:12" x14ac:dyDescent="0.2">
      <c r="A28" s="28">
        <f>IF(B28="","",MAX($A$1:A27)+1)</f>
        <v>19</v>
      </c>
      <c r="B28" s="23" t="s">
        <v>52</v>
      </c>
      <c r="C28" s="33"/>
      <c r="D28" s="31" t="str">
        <f t="shared" si="0"/>
        <v/>
      </c>
      <c r="E28" s="33">
        <f>$C27*E$9</f>
        <v>0.4632130324467636</v>
      </c>
      <c r="F28" s="33">
        <f t="shared" ref="F28:L28" si="8">$C27*F$9</f>
        <v>0.64335143395383831</v>
      </c>
      <c r="G28" s="33">
        <f t="shared" si="8"/>
        <v>0.56614926187937775</v>
      </c>
      <c r="H28" s="33">
        <f t="shared" si="8"/>
        <v>0.64335143395383831</v>
      </c>
      <c r="I28" s="33">
        <f t="shared" si="8"/>
        <v>0.38601086037230303</v>
      </c>
      <c r="J28" s="33">
        <f t="shared" si="8"/>
        <v>0.77202172074460607</v>
      </c>
      <c r="K28" s="33">
        <f t="shared" si="8"/>
        <v>0</v>
      </c>
      <c r="L28" s="33">
        <f t="shared" si="8"/>
        <v>0</v>
      </c>
    </row>
    <row r="29" spans="1:12" x14ac:dyDescent="0.2">
      <c r="A29" s="28">
        <f>IF(B29="","",MAX($A$1:A28)+1)</f>
        <v>20</v>
      </c>
      <c r="B29" s="23" t="s">
        <v>53</v>
      </c>
      <c r="C29" s="34">
        <f>SUM(E29:L29)</f>
        <v>272941238.94196892</v>
      </c>
      <c r="D29" s="31">
        <f t="shared" si="0"/>
        <v>0</v>
      </c>
      <c r="E29" s="36">
        <f>E25*E28</f>
        <v>170208195.97393358</v>
      </c>
      <c r="F29" s="36">
        <f t="shared" ref="F29:J29" si="9">F25*F28</f>
        <v>80713011.999158561</v>
      </c>
      <c r="G29" s="36">
        <f t="shared" si="9"/>
        <v>12689467.88626436</v>
      </c>
      <c r="H29" s="36">
        <f t="shared" si="9"/>
        <v>5664693.787427783</v>
      </c>
      <c r="I29" s="36">
        <f t="shared" si="9"/>
        <v>441286.4246432397</v>
      </c>
      <c r="J29" s="36">
        <f t="shared" si="9"/>
        <v>3927893.7386813806</v>
      </c>
      <c r="K29" s="37">
        <v>-972595.90814000019</v>
      </c>
      <c r="L29" s="37">
        <v>269285.04000000027</v>
      </c>
    </row>
    <row r="30" spans="1:12" x14ac:dyDescent="0.2">
      <c r="A30" s="28">
        <f>IF(B30="","",MAX($A$1:A29)+1)</f>
        <v>21</v>
      </c>
      <c r="B30" s="23" t="s">
        <v>54</v>
      </c>
      <c r="C30" s="34">
        <f>C26-C29</f>
        <v>24001.058031082153</v>
      </c>
      <c r="D30" s="31"/>
      <c r="E30" s="33"/>
      <c r="F30" s="33"/>
      <c r="G30" s="33"/>
      <c r="H30" s="33"/>
      <c r="I30" s="33"/>
      <c r="J30" s="33"/>
      <c r="K30" s="33"/>
      <c r="L30" s="33"/>
    </row>
    <row r="31" spans="1:12" x14ac:dyDescent="0.2">
      <c r="A31" s="28">
        <f>IF(B31="","",MAX($A$1:A30)+1)</f>
        <v>22</v>
      </c>
      <c r="B31" s="23" t="s">
        <v>55</v>
      </c>
      <c r="C31" s="34">
        <f>SUM(E31:L31)</f>
        <v>24001.05803108215</v>
      </c>
      <c r="D31" s="31">
        <f t="shared" si="0"/>
        <v>0</v>
      </c>
      <c r="E31" s="34">
        <f>$C30*(E29/SUM($E29:$J29))</f>
        <v>14928.770888260058</v>
      </c>
      <c r="F31" s="34">
        <f t="shared" ref="F31" si="10">$C30*(F29/SUM($E29:$J29))</f>
        <v>7079.2481933205727</v>
      </c>
      <c r="G31" s="34">
        <f t="shared" ref="G31:J31" si="11">$C30*(G29/SUM($E29:$J29))</f>
        <v>1112.9790647507109</v>
      </c>
      <c r="H31" s="34">
        <f t="shared" si="11"/>
        <v>496.84396935627268</v>
      </c>
      <c r="I31" s="34">
        <f t="shared" si="11"/>
        <v>38.70473975652299</v>
      </c>
      <c r="J31" s="34">
        <f t="shared" si="11"/>
        <v>344.51117563801529</v>
      </c>
      <c r="K31" s="33"/>
      <c r="L31" s="33"/>
    </row>
    <row r="32" spans="1:12" x14ac:dyDescent="0.2">
      <c r="A32" s="28">
        <f>IF(B32="","",MAX($A$1:A31)+1)</f>
        <v>23</v>
      </c>
      <c r="B32" s="23" t="s">
        <v>56</v>
      </c>
      <c r="C32" s="34">
        <f>SUM(E32:L32)</f>
        <v>272965240</v>
      </c>
      <c r="D32" s="31">
        <f t="shared" si="0"/>
        <v>0</v>
      </c>
      <c r="E32" s="34">
        <f>SUM(E29,E31)</f>
        <v>170223124.74482185</v>
      </c>
      <c r="F32" s="34">
        <f t="shared" ref="F32:L32" si="12">SUM(F29,F31)</f>
        <v>80720091.247351885</v>
      </c>
      <c r="G32" s="34">
        <f t="shared" si="12"/>
        <v>12690580.865329111</v>
      </c>
      <c r="H32" s="34">
        <f t="shared" si="12"/>
        <v>5665190.6313971393</v>
      </c>
      <c r="I32" s="34">
        <f t="shared" si="12"/>
        <v>441325.12938299624</v>
      </c>
      <c r="J32" s="34">
        <f t="shared" si="12"/>
        <v>3928238.2498570187</v>
      </c>
      <c r="K32" s="34">
        <f t="shared" si="12"/>
        <v>-972595.90814000019</v>
      </c>
      <c r="L32" s="34">
        <f t="shared" si="12"/>
        <v>269285.04000000027</v>
      </c>
    </row>
    <row r="33" spans="1:12" x14ac:dyDescent="0.2">
      <c r="A33" s="28">
        <f>IF(B33="","",MAX($A$1:A32)+1)</f>
        <v>24</v>
      </c>
      <c r="B33" s="23" t="s">
        <v>57</v>
      </c>
      <c r="C33" s="34">
        <f>SUM(E33:L33)</f>
        <v>806370124.02733481</v>
      </c>
      <c r="D33" s="31">
        <f t="shared" si="0"/>
        <v>0</v>
      </c>
      <c r="E33" s="34">
        <f>E25+E32</f>
        <v>537674349.23837137</v>
      </c>
      <c r="F33" s="34">
        <f t="shared" ref="F33:L33" si="13">F25+F32</f>
        <v>206177201.8394919</v>
      </c>
      <c r="G33" s="34">
        <f t="shared" si="13"/>
        <v>35104224.652730078</v>
      </c>
      <c r="H33" s="34">
        <f t="shared" si="13"/>
        <v>14470166.401194267</v>
      </c>
      <c r="I33" s="34">
        <f t="shared" si="13"/>
        <v>1584522.0441475809</v>
      </c>
      <c r="J33" s="34">
        <f t="shared" si="13"/>
        <v>9016040.3584466223</v>
      </c>
      <c r="K33" s="34">
        <f t="shared" si="13"/>
        <v>516784</v>
      </c>
      <c r="L33" s="34">
        <f t="shared" si="13"/>
        <v>1826835.4929530383</v>
      </c>
    </row>
    <row r="34" spans="1:12" x14ac:dyDescent="0.2">
      <c r="A34" s="28">
        <f>IF(B34="","",MAX($A$1:A33)+1)</f>
        <v>25</v>
      </c>
      <c r="B34" s="23" t="s">
        <v>58</v>
      </c>
      <c r="C34" s="33"/>
      <c r="D34" s="31" t="str">
        <f t="shared" si="0"/>
        <v/>
      </c>
      <c r="E34" s="33">
        <f>E32/E25</f>
        <v>0.46325366034481685</v>
      </c>
      <c r="F34" s="33">
        <f t="shared" ref="F34:L34" si="14">F32/F25</f>
        <v>0.64340786159002339</v>
      </c>
      <c r="G34" s="33">
        <f t="shared" si="14"/>
        <v>0.56619891819922064</v>
      </c>
      <c r="H34" s="33">
        <f t="shared" si="14"/>
        <v>0.64340786159002328</v>
      </c>
      <c r="I34" s="33">
        <f t="shared" si="14"/>
        <v>0.38604471695401404</v>
      </c>
      <c r="J34" s="33">
        <f t="shared" si="14"/>
        <v>0.77208943390802809</v>
      </c>
      <c r="K34" s="33">
        <f t="shared" si="14"/>
        <v>-0.65302069863062584</v>
      </c>
      <c r="L34" s="33">
        <f t="shared" si="14"/>
        <v>0.17289009129010829</v>
      </c>
    </row>
    <row r="35" spans="1:12" x14ac:dyDescent="0.2">
      <c r="A35" s="28">
        <f>IF(B35="","",MAX($A$1:A34)+1)</f>
        <v>26</v>
      </c>
      <c r="B35" s="23" t="s">
        <v>59</v>
      </c>
      <c r="C35" s="33"/>
      <c r="D35" s="31" t="str">
        <f t="shared" si="0"/>
        <v/>
      </c>
      <c r="E35" s="30">
        <f>E34/$C27</f>
        <v>0.90007893799545058</v>
      </c>
      <c r="F35" s="30">
        <f t="shared" ref="F35:L35" si="15">F34/$C27</f>
        <v>1.2501096361047923</v>
      </c>
      <c r="G35" s="30">
        <f t="shared" si="15"/>
        <v>1.1000964797722175</v>
      </c>
      <c r="H35" s="30">
        <f t="shared" si="15"/>
        <v>1.2501096361047921</v>
      </c>
      <c r="I35" s="30">
        <f t="shared" si="15"/>
        <v>0.75006578166287552</v>
      </c>
      <c r="J35" s="30">
        <f t="shared" si="15"/>
        <v>1.500131563325751</v>
      </c>
      <c r="K35" s="30">
        <f t="shared" si="15"/>
        <v>-1.2687869027845389</v>
      </c>
      <c r="L35" s="30">
        <f t="shared" si="15"/>
        <v>0.33591689193023833</v>
      </c>
    </row>
    <row r="36" spans="1:12" x14ac:dyDescent="0.2">
      <c r="A36" s="28" t="str">
        <f>IF(B36="","",MAX(A$1:A5)+1)</f>
        <v/>
      </c>
      <c r="C36" s="33"/>
      <c r="D36" s="31" t="str">
        <f t="shared" si="0"/>
        <v/>
      </c>
      <c r="E36" s="33"/>
      <c r="F36" s="33"/>
      <c r="G36" s="33"/>
      <c r="H36" s="33"/>
      <c r="I36" s="33"/>
      <c r="J36" s="33"/>
      <c r="K36" s="33"/>
      <c r="L36" s="33"/>
    </row>
    <row r="37" spans="1:12" x14ac:dyDescent="0.2">
      <c r="A37" s="28"/>
      <c r="B37" s="23" t="s">
        <v>61</v>
      </c>
      <c r="C37" s="33"/>
      <c r="D37" s="31"/>
      <c r="E37" s="33"/>
      <c r="F37" s="33"/>
      <c r="G37" s="33"/>
      <c r="H37" s="33"/>
      <c r="I37" s="33"/>
      <c r="J37" s="33"/>
      <c r="K37" s="33"/>
      <c r="L37" s="33"/>
    </row>
    <row r="38" spans="1:12" x14ac:dyDescent="0.2">
      <c r="A38" s="28"/>
      <c r="B38" s="23" t="s">
        <v>62</v>
      </c>
      <c r="D38" s="31"/>
    </row>
    <row r="39" spans="1:12" x14ac:dyDescent="0.2">
      <c r="D39" s="31"/>
      <c r="E39" s="38"/>
      <c r="F39" s="38"/>
      <c r="G39" s="38"/>
      <c r="H39" s="38"/>
      <c r="I39" s="38"/>
      <c r="J39" s="38"/>
      <c r="K39" s="38"/>
      <c r="L39" s="38"/>
    </row>
    <row r="40" spans="1:12" x14ac:dyDescent="0.2">
      <c r="B40" s="23" t="s">
        <v>63</v>
      </c>
      <c r="D40" s="31"/>
      <c r="E40" s="39">
        <v>1</v>
      </c>
      <c r="F40" s="39">
        <v>1.25</v>
      </c>
      <c r="G40" s="39">
        <v>1</v>
      </c>
      <c r="H40" s="39">
        <v>1.25</v>
      </c>
      <c r="I40" s="39">
        <v>0.25</v>
      </c>
      <c r="J40" s="39">
        <v>0.25</v>
      </c>
      <c r="K40" s="39">
        <v>0.75</v>
      </c>
      <c r="L40" s="39">
        <v>0</v>
      </c>
    </row>
    <row r="41" spans="1:12" x14ac:dyDescent="0.2">
      <c r="C41" s="39">
        <v>0.4399296732744068</v>
      </c>
      <c r="D41" s="31"/>
      <c r="E41" s="39">
        <f>$C$41*E40</f>
        <v>0.4399296732744068</v>
      </c>
      <c r="F41" s="39">
        <f t="shared" ref="F41:L41" si="16">$C$41*F40</f>
        <v>0.54991209159300847</v>
      </c>
      <c r="G41" s="39">
        <f t="shared" si="16"/>
        <v>0.4399296732744068</v>
      </c>
      <c r="H41" s="39">
        <f t="shared" si="16"/>
        <v>0.54991209159300847</v>
      </c>
      <c r="I41" s="39">
        <f t="shared" si="16"/>
        <v>0.1099824183186017</v>
      </c>
      <c r="J41" s="39">
        <f t="shared" si="16"/>
        <v>0.1099824183186017</v>
      </c>
      <c r="K41" s="39">
        <f t="shared" si="16"/>
        <v>0.32994725495580512</v>
      </c>
      <c r="L41" s="39">
        <f t="shared" si="16"/>
        <v>0</v>
      </c>
    </row>
    <row r="42" spans="1:12" x14ac:dyDescent="0.2">
      <c r="C42" s="34">
        <f>SUM(E42:L42)</f>
        <v>247614953.99999991</v>
      </c>
      <c r="D42" s="31">
        <f>IFERROR(IF(C42="","",IF(C42=0,0,IF(ABS(C42-SUM($E42:$L42))&lt;1,0,1))),1)</f>
        <v>0</v>
      </c>
      <c r="E42" s="36">
        <f>E12*E41</f>
        <v>162783894.58734208</v>
      </c>
      <c r="F42" s="36">
        <f t="shared" ref="F42:L42" si="17">F12*F41</f>
        <v>68957682.369392484</v>
      </c>
      <c r="G42" s="36">
        <f t="shared" si="17"/>
        <v>9887621.5211497918</v>
      </c>
      <c r="H42" s="36">
        <f t="shared" si="17"/>
        <v>4900517.5483911885</v>
      </c>
      <c r="I42" s="36">
        <f t="shared" si="17"/>
        <v>129330.34164363088</v>
      </c>
      <c r="J42" s="36">
        <f t="shared" si="17"/>
        <v>566083.15101790533</v>
      </c>
      <c r="K42" s="36">
        <f t="shared" si="17"/>
        <v>389824.48106283438</v>
      </c>
      <c r="L42" s="36">
        <f t="shared" si="17"/>
        <v>0</v>
      </c>
    </row>
    <row r="43" spans="1:12" x14ac:dyDescent="0.2">
      <c r="B43" s="40"/>
      <c r="C43" s="34">
        <f>C13-C42</f>
        <v>0</v>
      </c>
      <c r="D43" s="31"/>
    </row>
    <row r="44" spans="1:12" x14ac:dyDescent="0.2">
      <c r="C44" s="34">
        <f>SUM(E44:L44)</f>
        <v>783493199.40789247</v>
      </c>
      <c r="E44" s="34">
        <f>E42+E12</f>
        <v>532806433.3620916</v>
      </c>
      <c r="F44" s="34">
        <f t="shared" ref="F44:L44" si="18">F42+F12</f>
        <v>194355329.41809255</v>
      </c>
      <c r="G44" s="34">
        <f t="shared" si="18"/>
        <v>32363080.945280004</v>
      </c>
      <c r="H44" s="34">
        <f t="shared" si="18"/>
        <v>13811973.803508554</v>
      </c>
      <c r="I44" s="34">
        <f t="shared" si="18"/>
        <v>1305248.6713259378</v>
      </c>
      <c r="J44" s="34">
        <f t="shared" si="18"/>
        <v>5713116.2829686124</v>
      </c>
      <c r="K44" s="34">
        <f>K42+K12</f>
        <v>1571299.6265828344</v>
      </c>
      <c r="L44" s="34">
        <f t="shared" si="18"/>
        <v>1566717.2980424243</v>
      </c>
    </row>
    <row r="45" spans="1:12" x14ac:dyDescent="0.2">
      <c r="C45" s="34"/>
    </row>
    <row r="48" spans="1:12" x14ac:dyDescent="0.2">
      <c r="C48" s="34"/>
    </row>
  </sheetData>
  <pageMargins left="0.7" right="0.7" top="0.75" bottom="0.75" header="0.3" footer="0.3"/>
  <pageSetup scale="61" fitToHeight="2" orientation="landscape" blackAndWhite="1" horizontalDpi="300" verticalDpi="300" r:id="rId1"/>
  <headerFooter>
    <oddFooter>&amp;R&amp;A
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List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2024-10-28T07:00:00+00:00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104A2A0-D257-4BF4-B0C7-C713993778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C68E20-A1E3-4D0B-A3FD-7A5009AA11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76A89-B75F-4B1E-A94C-A75B0567AB5E}"/>
</file>

<file path=customXml/itemProps4.xml><?xml version="1.0" encoding="utf-8"?>
<ds:datastoreItem xmlns:ds="http://schemas.openxmlformats.org/officeDocument/2006/customXml" ds:itemID="{7BBB75BA-6303-4B78-AD23-CBC30D3D4B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 Appt</vt:lpstr>
      <vt:lpstr>Exh JDT-5 (Rate Spread)</vt:lpstr>
      <vt:lpstr>'Exh JDT-5 (Rate Spread)'!Print_Area</vt:lpstr>
      <vt:lpstr>'Exh JDT-5 (Rate Spread)'!Print_Titles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Kleckley</dc:creator>
  <cp:lastModifiedBy>Dunkin, Alexis (UTC)</cp:lastModifiedBy>
  <dcterms:created xsi:type="dcterms:W3CDTF">2024-10-14T19:22:25Z</dcterms:created>
  <dcterms:modified xsi:type="dcterms:W3CDTF">2024-10-28T23:24:56Z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