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AMI Opt Out Revisions (Jan) UE-200013\For Filing 03-03-2020\"/>
    </mc:Choice>
  </mc:AlternateContent>
  <bookViews>
    <workbookView xWindow="0" yWindow="0" windowWidth="12765" windowHeight="3855" activeTab="8"/>
  </bookViews>
  <sheets>
    <sheet name="Cumulative" sheetId="10" r:id="rId1"/>
    <sheet name="By Week" sheetId="13" r:id="rId2"/>
    <sheet name="Cumulative." sheetId="15" r:id="rId3"/>
    <sheet name="By Week." sheetId="16" r:id="rId4"/>
    <sheet name="Cumulative.New" sheetId="18" r:id="rId5"/>
    <sheet name="June24_Coefs" sheetId="19" r:id="rId6"/>
    <sheet name="July8_Coefs" sheetId="20" r:id="rId7"/>
    <sheet name="Feb10_Coefs_Cum" sheetId="27" r:id="rId8"/>
    <sheet name="Data" sheetId="1" r:id="rId9"/>
    <sheet name="Queries" sheetId="3" r:id="rId10"/>
    <sheet name="Sheet1" sheetId="14" r:id="rId11"/>
    <sheet name="ESRI_MAPINFO_SHEET" sheetId="2" state="veryHidden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3" i="1"/>
  <c r="J5" i="1"/>
  <c r="J6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G58" i="1" l="1"/>
  <c r="G56" i="1"/>
  <c r="G42" i="1"/>
  <c r="G43" i="1" s="1"/>
  <c r="G44" i="1" s="1"/>
  <c r="G45" i="1" s="1"/>
  <c r="G46" i="1" s="1"/>
  <c r="G47" i="1" s="1"/>
  <c r="G48" i="1" s="1"/>
  <c r="G49" i="1" s="1"/>
  <c r="G50" i="1" s="1"/>
  <c r="G51" i="1" s="1"/>
  <c r="G37" i="1"/>
  <c r="G38" i="1" s="1"/>
  <c r="G39" i="1" s="1"/>
  <c r="G40" i="1" s="1"/>
  <c r="G33" i="1"/>
  <c r="G19" i="1"/>
  <c r="G20" i="1" s="1"/>
  <c r="G17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F57" i="1" l="1"/>
  <c r="F58" i="1" s="1"/>
  <c r="F47" i="1"/>
  <c r="F48" i="1" s="1"/>
  <c r="F49" i="1" s="1"/>
  <c r="F50" i="1" s="1"/>
  <c r="F51" i="1" s="1"/>
  <c r="F52" i="1" s="1"/>
  <c r="F53" i="1" s="1"/>
  <c r="F54" i="1" s="1"/>
  <c r="F55" i="1" s="1"/>
  <c r="F33" i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23" i="1"/>
  <c r="F19" i="1"/>
  <c r="F20" i="1" s="1"/>
  <c r="H10" i="1"/>
  <c r="F9" i="1"/>
  <c r="F10" i="1" s="1"/>
  <c r="F11" i="1" s="1"/>
  <c r="F12" i="1" s="1"/>
  <c r="F13" i="1" s="1"/>
  <c r="F14" i="1" s="1"/>
  <c r="F15" i="1" s="1"/>
  <c r="F16" i="1" s="1"/>
  <c r="F17" i="1" s="1"/>
  <c r="B21" i="1"/>
  <c r="B22" i="1" s="1"/>
  <c r="I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P51" i="1" l="1"/>
  <c r="P52" i="1"/>
  <c r="P53" i="1"/>
  <c r="P54" i="1"/>
  <c r="P50" i="1"/>
  <c r="P47" i="1"/>
  <c r="P48" i="1"/>
  <c r="P49" i="1"/>
  <c r="P46" i="1"/>
  <c r="P45" i="1"/>
  <c r="P43" i="1"/>
  <c r="P44" i="1"/>
  <c r="P42" i="1"/>
  <c r="P38" i="1"/>
  <c r="P39" i="1"/>
  <c r="P40" i="1"/>
  <c r="P41" i="1"/>
  <c r="P37" i="1"/>
  <c r="D37" i="1" s="1"/>
  <c r="D49" i="1" l="1"/>
  <c r="D47" i="1"/>
  <c r="D41" i="1"/>
  <c r="D50" i="1"/>
  <c r="D40" i="1"/>
  <c r="D54" i="1"/>
  <c r="D39" i="1"/>
  <c r="D53" i="1"/>
  <c r="D38" i="1"/>
  <c r="D52" i="1"/>
  <c r="D46" i="1"/>
  <c r="D48" i="1"/>
  <c r="D42" i="1"/>
  <c r="D51" i="1"/>
  <c r="D44" i="1"/>
  <c r="D43" i="1"/>
  <c r="D45" i="1"/>
  <c r="W49" i="1"/>
  <c r="W50" i="1"/>
  <c r="S54" i="1"/>
  <c r="S56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W48" i="1" l="1"/>
  <c r="W52" i="1"/>
  <c r="W47" i="1"/>
  <c r="W53" i="1"/>
  <c r="W54" i="1"/>
  <c r="W51" i="1"/>
  <c r="W46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D3" i="1" l="1"/>
  <c r="O24" i="1"/>
  <c r="O25" i="1"/>
  <c r="O26" i="1"/>
  <c r="O27" i="1"/>
  <c r="O28" i="1"/>
  <c r="O23" i="1" l="1"/>
  <c r="W42" i="1"/>
  <c r="W43" i="1"/>
  <c r="W44" i="1"/>
  <c r="W45" i="1"/>
  <c r="W41" i="1" l="1"/>
  <c r="W39" i="1"/>
  <c r="W40" i="1"/>
  <c r="W38" i="1"/>
  <c r="W23" i="1"/>
  <c r="W32" i="1" l="1"/>
  <c r="W30" i="1"/>
  <c r="W31" i="1"/>
  <c r="W34" i="1"/>
  <c r="W33" i="1"/>
  <c r="W36" i="1"/>
  <c r="W37" i="1"/>
  <c r="W35" i="1"/>
  <c r="W29" i="1"/>
  <c r="W28" i="1"/>
  <c r="W25" i="1"/>
  <c r="W24" i="1"/>
  <c r="J2" i="1"/>
  <c r="J3" i="1"/>
  <c r="J4" i="1" l="1"/>
  <c r="W27" i="1"/>
  <c r="W26" i="1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" i="14"/>
  <c r="D2" i="14" s="1"/>
  <c r="D3" i="14" s="1"/>
  <c r="D4" i="14" s="1"/>
  <c r="D5" i="14" s="1"/>
  <c r="D6" i="14" l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3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" i="1"/>
  <c r="E2" i="1"/>
  <c r="F2" i="1"/>
  <c r="G2" i="1"/>
  <c r="H2" i="1"/>
  <c r="D2" i="1"/>
  <c r="I23" i="1" l="1"/>
  <c r="I24" i="1" l="1"/>
  <c r="I25" i="1" l="1"/>
  <c r="I26" i="1" l="1"/>
  <c r="I27" i="1" l="1"/>
  <c r="I28" i="1" l="1"/>
  <c r="I29" i="1" l="1"/>
  <c r="I30" i="1" l="1"/>
  <c r="I31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P22" i="1" l="1"/>
  <c r="I32" i="1"/>
  <c r="P21" i="1"/>
  <c r="D21" i="1" l="1"/>
  <c r="P58" i="1"/>
  <c r="P55" i="1"/>
  <c r="P56" i="1"/>
  <c r="P57" i="1"/>
  <c r="P59" i="1"/>
  <c r="W22" i="1"/>
  <c r="D22" i="1"/>
  <c r="I33" i="1"/>
  <c r="W21" i="1"/>
  <c r="D57" i="1" l="1"/>
  <c r="W57" i="1"/>
  <c r="W56" i="1"/>
  <c r="D56" i="1"/>
  <c r="W59" i="1"/>
  <c r="D59" i="1"/>
  <c r="D55" i="1"/>
  <c r="W55" i="1"/>
  <c r="W58" i="1"/>
  <c r="D58" i="1"/>
  <c r="I34" i="1"/>
  <c r="I35" i="1" l="1"/>
  <c r="I36" i="1" s="1"/>
  <c r="I37" i="1" s="1"/>
  <c r="I38" i="1" s="1"/>
  <c r="I39" i="1" s="1"/>
  <c r="I40" i="1" s="1"/>
  <c r="I41" i="1" s="1"/>
  <c r="I42" i="1" s="1"/>
  <c r="I43" i="1" s="1"/>
  <c r="O4" i="1"/>
  <c r="O3" i="1"/>
  <c r="I44" i="1" l="1"/>
  <c r="I45" i="1" l="1"/>
  <c r="I46" i="1" l="1"/>
  <c r="I47" i="1" l="1"/>
  <c r="I48" i="1" l="1"/>
  <c r="I49" i="1" l="1"/>
  <c r="I50" i="1" l="1"/>
  <c r="I51" i="1" l="1"/>
  <c r="I52" i="1" l="1"/>
  <c r="I53" i="1" l="1"/>
  <c r="I54" i="1" l="1"/>
  <c r="I55" i="1" l="1"/>
  <c r="I56" i="1" l="1"/>
  <c r="I57" i="1" l="1"/>
  <c r="I58" i="1" l="1"/>
  <c r="I59" i="1" l="1"/>
  <c r="W4" i="1" l="1"/>
</calcChain>
</file>

<file path=xl/comments1.xml><?xml version="1.0" encoding="utf-8"?>
<comments xmlns="http://schemas.openxmlformats.org/spreadsheetml/2006/main">
  <authors>
    <author>Burgess, Dan</author>
    <author>Hermanson, Lori</author>
  </authors>
  <commentList>
    <comment ref="U2" authorId="0" shapeId="0">
      <text>
        <r>
          <rPr>
            <b/>
            <sz val="9"/>
            <color indexed="81"/>
            <rFont val="Tahoma"/>
            <family val="2"/>
          </rPr>
          <t>Burgess, Dan:</t>
        </r>
        <r>
          <rPr>
            <sz val="9"/>
            <color indexed="81"/>
            <rFont val="Tahoma"/>
            <family val="2"/>
          </rPr>
          <t xml:space="preserve">
1 = small
2 = medium
3 = large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Burgess, Dan:</t>
        </r>
        <r>
          <rPr>
            <sz val="9"/>
            <color indexed="81"/>
            <rFont val="Tahoma"/>
            <family val="2"/>
          </rPr>
          <t xml:space="preserve">
all media event</t>
        </r>
      </text>
    </comment>
    <comment ref="U17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Town hall (South hill Spokane) and Fox 28 SmartMeter Segment 2 (TV)</t>
        </r>
      </text>
    </comment>
    <comment ref="U19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Pullman townhall
</t>
        </r>
      </text>
    </comment>
    <comment ref="U20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Fox28 SmartMeter Segment #3</t>
        </r>
      </text>
    </comment>
    <comment ref="U21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Colville Town Hall
</t>
        </r>
      </text>
    </comment>
    <comment ref="U23" authorId="0" shapeId="0">
      <text>
        <r>
          <rPr>
            <b/>
            <sz val="9"/>
            <color indexed="81"/>
            <rFont val="Tahoma"/>
            <family val="2"/>
          </rPr>
          <t>Burgess, Dan:</t>
        </r>
        <r>
          <rPr>
            <sz val="9"/>
            <color indexed="81"/>
            <rFont val="Tahoma"/>
            <family val="2"/>
          </rPr>
          <t xml:space="preserve">
it takes a week to see the results of the outreach</t>
        </r>
      </text>
    </comment>
    <comment ref="P37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Sept 2019 calls - 
74 opt out concerns,
116 opt out fee and process
110 general AMI</t>
        </r>
      </text>
    </comment>
    <comment ref="U40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Zone 3 town hall
</t>
        </r>
      </text>
    </comment>
    <comment ref="P42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Oct 2019 calls -
96 opt out concerns,
92 opt out fee and process
114 general AMI</t>
        </r>
      </text>
    </comment>
    <comment ref="U42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10/11/19 KHQ smart meter safety story</t>
        </r>
      </text>
    </comment>
    <comment ref="U44" authorId="1" shapeId="0">
      <text>
        <r>
          <rPr>
            <b/>
            <sz val="9"/>
            <color indexed="81"/>
            <rFont val="Tahoma"/>
            <charset val="1"/>
          </rPr>
          <t>Hermanson, Lori:</t>
        </r>
        <r>
          <rPr>
            <sz val="9"/>
            <color indexed="81"/>
            <rFont val="Tahoma"/>
            <charset val="1"/>
          </rPr>
          <t xml:space="preserve">
10/25/19 Daily Evergreen (WSU) Smart Meter Pilot Program story</t>
        </r>
      </text>
    </comment>
    <comment ref="U45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Zone 4 and 8 town halls and Avista social media post</t>
        </r>
      </text>
    </comment>
    <comment ref="P46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Oct 2019 calls -
72 opt out concerns,
104 opt out fee and process
114 general AMI</t>
        </r>
      </text>
    </comment>
    <comment ref="U49" authorId="1" shapeId="0">
      <text>
        <r>
          <rPr>
            <b/>
            <sz val="9"/>
            <color indexed="81"/>
            <rFont val="Tahoma"/>
            <charset val="1"/>
          </rPr>
          <t xml:space="preserve">Hermanson, Lori:
</t>
        </r>
        <r>
          <rPr>
            <sz val="9"/>
            <color indexed="81"/>
            <rFont val="Tahoma"/>
            <family val="2"/>
          </rPr>
          <t>12/1/19 Rawhide Press newspaper article</t>
        </r>
      </text>
    </comment>
    <comment ref="P50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Oct 2019 calls -
56 opt out concerns,
78 opt out fee and process
97 general AMI</t>
        </r>
      </text>
    </comment>
    <comment ref="U50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12/5/19 KHQ on camera interview with Josh DiLuciano
12/6/19 KHQ smart meter opt-out story
12/7/19 KHQ smart meter opt-out story</t>
        </r>
      </text>
    </comment>
    <comment ref="P55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Through 12/31/19 100% of 'Opt Out' calls were analyzed to establish a trend.  Beginning 1/1/20, in an effort to optimize labor costs, these calls will only be sampled in the future.  For purposes of this prediction, we used an average of the to date opt out calls.
</t>
        </r>
      </text>
    </comment>
    <comment ref="U57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1/20/20 AMI smart meter opt-out video posted on myavista.com</t>
        </r>
      </text>
    </comment>
    <comment ref="U59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Zone 6 town halls
and Avista facebook post</t>
        </r>
      </text>
    </comment>
    <comment ref="U61" authorId="1" shapeId="0">
      <text>
        <r>
          <rPr>
            <b/>
            <sz val="9"/>
            <color indexed="81"/>
            <rFont val="Tahoma"/>
            <family val="2"/>
          </rPr>
          <t>Hermanson, Lori:</t>
        </r>
        <r>
          <rPr>
            <sz val="9"/>
            <color indexed="81"/>
            <rFont val="Tahoma"/>
            <family val="2"/>
          </rPr>
          <t xml:space="preserve">
Zone 5 town hall
</t>
        </r>
      </text>
    </comment>
  </commentList>
</comments>
</file>

<file path=xl/sharedStrings.xml><?xml version="1.0" encoding="utf-8"?>
<sst xmlns="http://schemas.openxmlformats.org/spreadsheetml/2006/main" count="349" uniqueCount="87">
  <si>
    <t>Meters Deployed</t>
  </si>
  <si>
    <t>Week</t>
  </si>
  <si>
    <t>Date</t>
  </si>
  <si>
    <t>90 Day Notification</t>
  </si>
  <si>
    <t>60 Day Notification</t>
  </si>
  <si>
    <t>21 Day Notification</t>
  </si>
  <si>
    <t>Opt Out Customers (Cumulative)</t>
  </si>
  <si>
    <t>SELECT COUNT(DISTINCT APER.PER_ID) AS COUNT</t>
  </si>
  <si>
    <t>FROM CISADM.CI_SP_CHAR CHAR1, CISADM.CI_SP SP, CISADM.CI_SA_SP SASP, CISADM.CI_SA SA, CISADM.CI_ACCT ACCT, CISADM.CI_ACCT_PER APER, CISADM.CI_CHAR_VAL_L L</t>
  </si>
  <si>
    <t>WHERE CHAR1.SP_ID = SP.SP_ID</t>
  </si>
  <si>
    <t>AND SASP.SP_ID = SP.SP_ID</t>
  </si>
  <si>
    <t>AND SA.SA_ID = SASP.SA_ID</t>
  </si>
  <si>
    <t>AND ACCT.ACCT_ID = SA.ACCT_ID</t>
  </si>
  <si>
    <t>AND APER.ACCT_ID = ACCT.ACCT_ID</t>
  </si>
  <si>
    <t>AND CHAR1.CHAR_VAL = L.CHAR_VAL</t>
  </si>
  <si>
    <t>AND L.CHAR_TYPE_CD = 'CM_OPTO'</t>
  </si>
  <si>
    <t>AND CHAR1.CHAR_VAL IN ('R', 'Y')</t>
  </si>
  <si>
    <t>AND CHAR1.EFFDT = (SELECT MAX(CHAR2.EFFDT)</t>
  </si>
  <si>
    <t xml:space="preserve">  FROM CISADM.CI_SP_CHAR CHAR2</t>
  </si>
  <si>
    <t xml:space="preserve">  WHERE CHAR1.SP_ID = CHAR2.SP_ID</t>
  </si>
  <si>
    <t xml:space="preserve">  AND CHAR2.CHAR_TYPE_CD = 'CM_OPTO'</t>
  </si>
  <si>
    <t>AND SA.SA_STATUS_FLG = '20'</t>
  </si>
  <si>
    <t>AND APER.ACCT_REL_TYPE_CD = 'MAIN';</t>
  </si>
  <si>
    <t>SELECT COUNT(DISTINCT D1_ACTIVITY_ID) AS COUNT, TRUNC(LOG_DTTM)</t>
  </si>
  <si>
    <t>FROM CISADM.D1_ACTIVITY_LOG</t>
  </si>
  <si>
    <t>WHERE BO_STATUS_CD = '90 DAYS'</t>
  </si>
  <si>
    <t>AND LOG_ENTRY_TYPE_FLG = 'F1ST'</t>
  </si>
  <si>
    <t>GROUP BY TRUNC(LOG_DTTM)</t>
  </si>
  <si>
    <t>WHERE BO_STATUS_CD = '60 DAYS'</t>
  </si>
  <si>
    <t>WHERE BO_STATUS_CD = 'INSTALLPEND'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</si>
  <si>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</si>
  <si>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</si>
  <si>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</si>
  <si>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</si>
  <si>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</si>
  <si>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</si>
  <si>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</si>
  <si>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</si>
  <si>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</si>
  <si>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</si>
  <si>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</si>
  <si>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</si>
  <si>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</si>
  <si>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</si>
  <si>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</si>
  <si>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</si>
  <si>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</si>
  <si>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</si>
  <si>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</si>
  <si>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</si>
  <si>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</si>
  <si>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</si>
  <si>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</si>
  <si>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</si>
  <si>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Predicted</t>
  </si>
  <si>
    <t>New Opt Outs</t>
  </si>
  <si>
    <t>Called CSR</t>
  </si>
  <si>
    <t>Known Outreach</t>
  </si>
  <si>
    <t>By Week</t>
  </si>
  <si>
    <t>Coefs</t>
  </si>
  <si>
    <t>&lt;- this is near perfect.  This never happens</t>
  </si>
  <si>
    <t>Difference</t>
  </si>
  <si>
    <t>OptOut Page Views</t>
  </si>
  <si>
    <t>3 month Estimate</t>
  </si>
  <si>
    <t xml:space="preserve">  AND CHAR2.EFFDT &lt;= '17-JUN-19')</t>
  </si>
  <si>
    <t>--COUNT OF 90 DAY NOTICES</t>
  </si>
  <si>
    <t>ORDER BY TRUNC(LOG_DTTM) DESC;</t>
  </si>
  <si>
    <t>--COUNT OF 60 DAY NOTICES</t>
  </si>
  <si>
    <t>--COUNT OF 21 DAY NOTICES</t>
  </si>
  <si>
    <t>select</t>
  </si>
  <si>
    <t xml:space="preserve">      trunc(ie.d1_install_dttm) INSTALL_DATE,</t>
  </si>
  <si>
    <t xml:space="preserve">      SUM(COUNT(distinct sp.d1_sp_id)) OVER (order by trunc(ie.d1_install_dttm)) as METER_COUNT</t>
  </si>
  <si>
    <t xml:space="preserve">from </t>
  </si>
  <si>
    <t xml:space="preserve">    cisadm.d1_install_evt ie,</t>
  </si>
  <si>
    <t xml:space="preserve">    cisadm.d1_dvc_cfg dvc,</t>
  </si>
  <si>
    <t xml:space="preserve">    cisadm.d1_dvc d,</t>
  </si>
  <si>
    <t xml:space="preserve">    cisadm.d1_sp sp </t>
  </si>
  <si>
    <t>where sp.d1_sp_id = ie.d1_sp_id</t>
  </si>
  <si>
    <t xml:space="preserve">    and ie.device_config_id = dvc.device_config_id</t>
  </si>
  <si>
    <t xml:space="preserve">    and dvc.d1_device_id = d.d1_device_id </t>
  </si>
  <si>
    <t xml:space="preserve">    and ie.d1_removal_dttm is null</t>
  </si>
  <si>
    <t xml:space="preserve">    and dvc.device_config_type_cd like '%RIVA%'</t>
  </si>
  <si>
    <t xml:space="preserve">    and d.d1_spr_cd = 'RIVA'</t>
  </si>
  <si>
    <t>group by trunc(ie.d1_install_dttm)</t>
  </si>
  <si>
    <t>order by INSTALL_DATE desc</t>
  </si>
  <si>
    <t>COUNT RIVA METERS INSTALLED BY DATE</t>
  </si>
  <si>
    <t>COUNT OF OPTED OUT MAIN CUSTOMERS WITH ACTIVE ACCOUNTS WHO HAVE OFFICIALLY OPTED OUT OR HAVE REFUSED TO OPT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</si>
</sst>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7BE"/>
        <bgColor indexed="64"/>
      </patternFill>
    </fill>
    <fill>
      <patternFill patternType="solid">
        <fgColor rgb="FF002A5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9BB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2A5F"/>
      </left>
      <right/>
      <top style="medium">
        <color rgb="FF002A5F"/>
      </top>
      <bottom style="medium">
        <color rgb="FF002A5F"/>
      </bottom>
      <diagonal/>
    </border>
    <border>
      <left/>
      <right/>
      <top style="medium">
        <color rgb="FF002A5F"/>
      </top>
      <bottom style="medium">
        <color rgb="FF002A5F"/>
      </bottom>
      <diagonal/>
    </border>
    <border>
      <left/>
      <right style="medium">
        <color rgb="FF002A5F"/>
      </right>
      <top style="medium">
        <color rgb="FF002A5F"/>
      </top>
      <bottom style="medium">
        <color rgb="FF002A5F"/>
      </bottom>
      <diagonal/>
    </border>
    <border>
      <left style="medium">
        <color rgb="FF002A5F"/>
      </left>
      <right style="medium">
        <color rgb="FF002A5F"/>
      </right>
      <top style="medium">
        <color rgb="FF002A5F"/>
      </top>
      <bottom/>
      <diagonal/>
    </border>
    <border>
      <left style="medium">
        <color rgb="FF002A5F"/>
      </left>
      <right style="medium">
        <color rgb="FF002A5F"/>
      </right>
      <top/>
      <bottom/>
      <diagonal/>
    </border>
    <border>
      <left style="medium">
        <color rgb="FF002A5F"/>
      </left>
      <right style="medium">
        <color rgb="FF002A5F"/>
      </right>
      <top/>
      <bottom style="medium">
        <color rgb="FF002A5F"/>
      </bottom>
      <diagonal/>
    </border>
    <border>
      <left/>
      <right style="medium">
        <color rgb="FF002A5F"/>
      </right>
      <top style="medium">
        <color rgb="FF002A5F"/>
      </top>
      <bottom/>
      <diagonal/>
    </border>
    <border>
      <left style="medium">
        <color rgb="FF002A5F"/>
      </left>
      <right/>
      <top/>
      <bottom/>
      <diagonal/>
    </border>
    <border>
      <left/>
      <right style="medium">
        <color rgb="FF002A5F"/>
      </right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10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3" borderId="3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3" fillId="2" borderId="0" xfId="0" applyFont="1" applyFill="1" applyBorder="1" applyAlignment="1"/>
    <xf numFmtId="0" fontId="2" fillId="6" borderId="0" xfId="0" applyFont="1" applyFill="1" applyBorder="1" applyAlignment="1"/>
    <xf numFmtId="0" fontId="3" fillId="8" borderId="0" xfId="0" applyFont="1" applyFill="1" applyBorder="1" applyAlignment="1"/>
    <xf numFmtId="0" fontId="3" fillId="8" borderId="1" xfId="0" applyFont="1" applyFill="1" applyBorder="1" applyAlignment="1"/>
    <xf numFmtId="165" fontId="0" fillId="0" borderId="0" xfId="0" applyNumberFormat="1" applyFill="1" applyBorder="1" applyAlignment="1">
      <alignment horizontal="center"/>
    </xf>
    <xf numFmtId="0" fontId="0" fillId="9" borderId="0" xfId="0" applyFill="1" applyBorder="1" applyAlignment="1"/>
    <xf numFmtId="0" fontId="0" fillId="9" borderId="1" xfId="0" applyFill="1" applyBorder="1" applyAlignment="1"/>
    <xf numFmtId="1" fontId="0" fillId="0" borderId="0" xfId="0" applyNumberFormat="1"/>
    <xf numFmtId="0" fontId="8" fillId="0" borderId="12" xfId="0" applyNumberFormat="1" applyFont="1" applyBorder="1"/>
    <xf numFmtId="16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1" fontId="0" fillId="8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0" fillId="10" borderId="7" xfId="0" applyFill="1" applyBorder="1"/>
    <xf numFmtId="0" fontId="0" fillId="10" borderId="0" xfId="0" applyNumberFormat="1" applyFill="1" applyAlignment="1">
      <alignment horizontal="center"/>
    </xf>
    <xf numFmtId="0" fontId="8" fillId="10" borderId="12" xfId="0" applyNumberFormat="1" applyFont="1" applyFill="1" applyBorder="1"/>
    <xf numFmtId="0" fontId="0" fillId="10" borderId="0" xfId="0" applyFill="1"/>
    <xf numFmtId="1" fontId="0" fillId="0" borderId="0" xfId="0" applyNumberForma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1" fontId="0" fillId="11" borderId="0" xfId="0" applyNumberFormat="1" applyFill="1" applyAlignment="1">
      <alignment horizontal="center"/>
    </xf>
    <xf numFmtId="0" fontId="0" fillId="11" borderId="7" xfId="0" applyFill="1" applyBorder="1"/>
    <xf numFmtId="0" fontId="0" fillId="11" borderId="0" xfId="0" applyNumberFormat="1" applyFill="1" applyAlignment="1">
      <alignment horizontal="center"/>
    </xf>
    <xf numFmtId="0" fontId="0" fillId="11" borderId="0" xfId="0" applyFill="1"/>
    <xf numFmtId="0" fontId="0" fillId="8" borderId="7" xfId="0" applyFill="1" applyBorder="1"/>
    <xf numFmtId="0" fontId="0" fillId="8" borderId="0" xfId="0" applyNumberFormat="1" applyFill="1" applyAlignment="1">
      <alignment horizontal="center"/>
    </xf>
    <xf numFmtId="0" fontId="0" fillId="8" borderId="0" xfId="0" applyFill="1"/>
    <xf numFmtId="0" fontId="0" fillId="3" borderId="4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0" xfId="0" applyFont="1" applyFill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  <color rgb="FF0077BE"/>
      <color rgb="FF002A5F"/>
      <color rgb="FFA9BB23"/>
      <color rgb="FF002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vs Actual Opt Outs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882185701112876E-2"/>
          <c:y val="0.15813800931485494"/>
          <c:w val="0.93330762280772495"/>
          <c:h val="0.64542215469051256"/>
        </c:manualLayout>
      </c:layout>
      <c:lineChart>
        <c:grouping val="standard"/>
        <c:varyColors val="0"/>
        <c:ser>
          <c:idx val="1"/>
          <c:order val="0"/>
          <c:tx>
            <c:strRef>
              <c:f>Data!$K$2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Data!$K$3:$K$42</c:f>
              <c:numCache>
                <c:formatCode>0</c:formatCode>
                <c:ptCount val="40"/>
                <c:pt idx="0">
                  <c:v>12.85550818000965</c:v>
                </c:pt>
                <c:pt idx="1">
                  <c:v>29.491686625941089</c:v>
                </c:pt>
                <c:pt idx="2">
                  <c:v>45.690009172156131</c:v>
                </c:pt>
                <c:pt idx="3">
                  <c:v>61.330718467960878</c:v>
                </c:pt>
                <c:pt idx="4">
                  <c:v>92.325755793866975</c:v>
                </c:pt>
                <c:pt idx="5">
                  <c:v>116.09456599380135</c:v>
                </c:pt>
                <c:pt idx="6">
                  <c:v>140.42299802115744</c:v>
                </c:pt>
                <c:pt idx="7">
                  <c:v>154.44117818586597</c:v>
                </c:pt>
                <c:pt idx="8">
                  <c:v>197.99772967773515</c:v>
                </c:pt>
                <c:pt idx="9">
                  <c:v>225.43045055865176</c:v>
                </c:pt>
                <c:pt idx="10">
                  <c:v>251.5454044126592</c:v>
                </c:pt>
                <c:pt idx="11">
                  <c:v>280.70138023885704</c:v>
                </c:pt>
                <c:pt idx="12">
                  <c:v>298.28131373821634</c:v>
                </c:pt>
                <c:pt idx="13">
                  <c:v>355.95139939484113</c:v>
                </c:pt>
                <c:pt idx="14">
                  <c:v>399.58499492231942</c:v>
                </c:pt>
                <c:pt idx="15">
                  <c:v>422.3333310735884</c:v>
                </c:pt>
                <c:pt idx="16">
                  <c:v>449.172152945861</c:v>
                </c:pt>
                <c:pt idx="17">
                  <c:v>483.93415558618813</c:v>
                </c:pt>
                <c:pt idx="18">
                  <c:v>523.7337626692987</c:v>
                </c:pt>
                <c:pt idx="19">
                  <c:v>552.59425435200387</c:v>
                </c:pt>
                <c:pt idx="20">
                  <c:v>602.24020446307782</c:v>
                </c:pt>
                <c:pt idx="21">
                  <c:v>621.28466926891087</c:v>
                </c:pt>
                <c:pt idx="22">
                  <c:v>657.3666615180814</c:v>
                </c:pt>
                <c:pt idx="23">
                  <c:v>687.04575832018429</c:v>
                </c:pt>
                <c:pt idx="24">
                  <c:v>712.72794734615047</c:v>
                </c:pt>
                <c:pt idx="25">
                  <c:v>746.24199960964324</c:v>
                </c:pt>
                <c:pt idx="26">
                  <c:v>778.6214318962252</c:v>
                </c:pt>
                <c:pt idx="27">
                  <c:v>804.24348251099673</c:v>
                </c:pt>
                <c:pt idx="28">
                  <c:v>859.16438495474313</c:v>
                </c:pt>
                <c:pt idx="29">
                  <c:v>876.6017313031706</c:v>
                </c:pt>
                <c:pt idx="30">
                  <c:v>886.69801004531314</c:v>
                </c:pt>
                <c:pt idx="31">
                  <c:v>921.7012725379052</c:v>
                </c:pt>
                <c:pt idx="32">
                  <c:v>945.95969276984169</c:v>
                </c:pt>
                <c:pt idx="33">
                  <c:v>985.94378621148371</c:v>
                </c:pt>
                <c:pt idx="34">
                  <c:v>1001.5857151746161</c:v>
                </c:pt>
                <c:pt idx="35">
                  <c:v>1032.58666360248</c:v>
                </c:pt>
                <c:pt idx="36">
                  <c:v>1052.7058033938174</c:v>
                </c:pt>
                <c:pt idx="37">
                  <c:v>1065.2083023456216</c:v>
                </c:pt>
                <c:pt idx="38">
                  <c:v>1076.9672070869944</c:v>
                </c:pt>
                <c:pt idx="39">
                  <c:v>1098.6401426680782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Data!$B$2</c:f>
              <c:strCache>
                <c:ptCount val="1"/>
                <c:pt idx="0">
                  <c:v>Opt Out Customers (Cumulative)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Data!$B$3:$B$42</c:f>
              <c:numCache>
                <c:formatCode>General</c:formatCode>
                <c:ptCount val="40"/>
                <c:pt idx="0">
                  <c:v>17</c:v>
                </c:pt>
                <c:pt idx="1">
                  <c:v>22</c:v>
                </c:pt>
                <c:pt idx="2">
                  <c:v>24</c:v>
                </c:pt>
                <c:pt idx="3">
                  <c:v>46</c:v>
                </c:pt>
                <c:pt idx="4">
                  <c:v>115</c:v>
                </c:pt>
                <c:pt idx="5">
                  <c:v>123</c:v>
                </c:pt>
                <c:pt idx="6">
                  <c:v>143</c:v>
                </c:pt>
                <c:pt idx="7">
                  <c:v>161</c:v>
                </c:pt>
                <c:pt idx="8">
                  <c:v>171</c:v>
                </c:pt>
                <c:pt idx="9">
                  <c:v>223</c:v>
                </c:pt>
                <c:pt idx="10">
                  <c:v>259</c:v>
                </c:pt>
                <c:pt idx="11">
                  <c:v>284</c:v>
                </c:pt>
                <c:pt idx="12">
                  <c:v>322</c:v>
                </c:pt>
                <c:pt idx="13">
                  <c:v>344</c:v>
                </c:pt>
                <c:pt idx="14">
                  <c:v>390</c:v>
                </c:pt>
                <c:pt idx="15">
                  <c:v>428</c:v>
                </c:pt>
                <c:pt idx="16">
                  <c:v>453</c:v>
                </c:pt>
                <c:pt idx="17">
                  <c:v>487</c:v>
                </c:pt>
                <c:pt idx="18" formatCode="0">
                  <c:v>519</c:v>
                </c:pt>
                <c:pt idx="19" formatCode="0">
                  <c:v>542</c:v>
                </c:pt>
                <c:pt idx="20">
                  <c:v>585</c:v>
                </c:pt>
                <c:pt idx="21">
                  <c:v>616</c:v>
                </c:pt>
                <c:pt idx="22">
                  <c:v>654</c:v>
                </c:pt>
                <c:pt idx="23">
                  <c:v>672</c:v>
                </c:pt>
                <c:pt idx="24">
                  <c:v>732</c:v>
                </c:pt>
                <c:pt idx="25">
                  <c:v>751</c:v>
                </c:pt>
                <c:pt idx="26">
                  <c:v>786</c:v>
                </c:pt>
                <c:pt idx="27">
                  <c:v>817</c:v>
                </c:pt>
                <c:pt idx="28">
                  <c:v>840</c:v>
                </c:pt>
                <c:pt idx="29">
                  <c:v>887</c:v>
                </c:pt>
                <c:pt idx="30">
                  <c:v>893</c:v>
                </c:pt>
                <c:pt idx="31">
                  <c:v>910</c:v>
                </c:pt>
                <c:pt idx="32">
                  <c:v>935</c:v>
                </c:pt>
                <c:pt idx="33">
                  <c:v>950</c:v>
                </c:pt>
                <c:pt idx="34">
                  <c:v>987</c:v>
                </c:pt>
                <c:pt idx="35">
                  <c:v>1011</c:v>
                </c:pt>
                <c:pt idx="36">
                  <c:v>1042</c:v>
                </c:pt>
                <c:pt idx="37">
                  <c:v>1069</c:v>
                </c:pt>
                <c:pt idx="38">
                  <c:v>1098</c:v>
                </c:pt>
                <c:pt idx="39">
                  <c:v>1131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05288"/>
        <c:axId val="256572792"/>
      </c:lineChart>
      <c:catAx>
        <c:axId val="161205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72792"/>
        <c:crosses val="autoZero"/>
        <c:auto val="1"/>
        <c:lblAlgn val="ctr"/>
        <c:lblOffset val="100"/>
        <c:noMultiLvlLbl val="0"/>
      </c:catAx>
      <c:valAx>
        <c:axId val="25657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0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By Week vs Actual Opt Outs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Data!$O$2</c:f>
              <c:strCache>
                <c:ptCount val="1"/>
                <c:pt idx="0">
                  <c:v>New Opt Outs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Data!$O$3:$O$28</c:f>
              <c:numCache>
                <c:formatCode>General</c:formatCode>
                <c:ptCount val="26"/>
                <c:pt idx="0">
                  <c:v>17</c:v>
                </c:pt>
                <c:pt idx="1">
                  <c:v>5</c:v>
                </c:pt>
                <c:pt idx="2">
                  <c:v>2</c:v>
                </c:pt>
                <c:pt idx="3">
                  <c:v>22</c:v>
                </c:pt>
                <c:pt idx="4">
                  <c:v>69</c:v>
                </c:pt>
                <c:pt idx="5">
                  <c:v>8</c:v>
                </c:pt>
                <c:pt idx="6">
                  <c:v>20</c:v>
                </c:pt>
                <c:pt idx="7">
                  <c:v>18</c:v>
                </c:pt>
                <c:pt idx="8">
                  <c:v>10</c:v>
                </c:pt>
                <c:pt idx="9">
                  <c:v>52</c:v>
                </c:pt>
                <c:pt idx="10">
                  <c:v>36</c:v>
                </c:pt>
                <c:pt idx="11">
                  <c:v>25</c:v>
                </c:pt>
                <c:pt idx="12">
                  <c:v>38</c:v>
                </c:pt>
                <c:pt idx="13">
                  <c:v>22</c:v>
                </c:pt>
                <c:pt idx="14">
                  <c:v>46</c:v>
                </c:pt>
                <c:pt idx="15">
                  <c:v>38</c:v>
                </c:pt>
                <c:pt idx="16">
                  <c:v>25</c:v>
                </c:pt>
                <c:pt idx="17">
                  <c:v>34</c:v>
                </c:pt>
                <c:pt idx="18" formatCode="0">
                  <c:v>32</c:v>
                </c:pt>
                <c:pt idx="19">
                  <c:v>23</c:v>
                </c:pt>
                <c:pt idx="20" formatCode="0">
                  <c:v>43</c:v>
                </c:pt>
                <c:pt idx="21" formatCode="0">
                  <c:v>31</c:v>
                </c:pt>
                <c:pt idx="22" formatCode="0">
                  <c:v>38</c:v>
                </c:pt>
                <c:pt idx="23" formatCode="0">
                  <c:v>18</c:v>
                </c:pt>
                <c:pt idx="24" formatCode="0">
                  <c:v>60</c:v>
                </c:pt>
                <c:pt idx="25" formatCode="0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Data!$W$2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Data!$W$3:$W$28</c:f>
              <c:numCache>
                <c:formatCode>0</c:formatCode>
                <c:ptCount val="26"/>
                <c:pt idx="0">
                  <c:v>120.67692224672781</c:v>
                </c:pt>
                <c:pt idx="1">
                  <c:v>15.033058847904368</c:v>
                </c:pt>
                <c:pt idx="2">
                  <c:v>23.315798014312602</c:v>
                </c:pt>
                <c:pt idx="3">
                  <c:v>26.481349839434721</c:v>
                </c:pt>
                <c:pt idx="4">
                  <c:v>54.770180314153123</c:v>
                </c:pt>
                <c:pt idx="5">
                  <c:v>27.553247859735041</c:v>
                </c:pt>
                <c:pt idx="6">
                  <c:v>27.973290445671875</c:v>
                </c:pt>
                <c:pt idx="7">
                  <c:v>31.372296365182727</c:v>
                </c:pt>
                <c:pt idx="8">
                  <c:v>54.188960832046178</c:v>
                </c:pt>
                <c:pt idx="9">
                  <c:v>47.459316808107431</c:v>
                </c:pt>
                <c:pt idx="10">
                  <c:v>46.560352937624572</c:v>
                </c:pt>
                <c:pt idx="11">
                  <c:v>30.641843577698545</c:v>
                </c:pt>
                <c:pt idx="12">
                  <c:v>69.18625401339574</c:v>
                </c:pt>
                <c:pt idx="13">
                  <c:v>-119.65473069598204</c:v>
                </c:pt>
                <c:pt idx="14">
                  <c:v>51.505356667177281</c:v>
                </c:pt>
                <c:pt idx="15">
                  <c:v>46.780038090067833</c:v>
                </c:pt>
                <c:pt idx="16">
                  <c:v>31.186690094308549</c:v>
                </c:pt>
                <c:pt idx="17">
                  <c:v>41.568943649545915</c:v>
                </c:pt>
                <c:pt idx="18">
                  <c:v>47.278574442658979</c:v>
                </c:pt>
                <c:pt idx="19">
                  <c:v>121.47235612538304</c:v>
                </c:pt>
                <c:pt idx="20">
                  <c:v>29.261261607518005</c:v>
                </c:pt>
                <c:pt idx="21">
                  <c:v>36.891698329949804</c:v>
                </c:pt>
                <c:pt idx="22">
                  <c:v>12.495498274776395</c:v>
                </c:pt>
                <c:pt idx="23">
                  <c:v>77.92408641610696</c:v>
                </c:pt>
                <c:pt idx="24">
                  <c:v>43.684716485427771</c:v>
                </c:pt>
                <c:pt idx="25">
                  <c:v>60.640606906663521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570440"/>
        <c:axId val="256565736"/>
      </c:lineChart>
      <c:catAx>
        <c:axId val="256570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65736"/>
        <c:crosses val="autoZero"/>
        <c:auto val="1"/>
        <c:lblAlgn val="ctr"/>
        <c:lblOffset val="100"/>
        <c:noMultiLvlLbl val="0"/>
      </c:catAx>
      <c:valAx>
        <c:axId val="25656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7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Sheet1!$C$2:$C$19</c:f>
              <c:numCache>
                <c:formatCode>0</c:formatCode>
                <c:ptCount val="18"/>
                <c:pt idx="0">
                  <c:v>8.3456293715128247</c:v>
                </c:pt>
                <c:pt idx="1">
                  <c:v>2.0089628617971584</c:v>
                </c:pt>
                <c:pt idx="2">
                  <c:v>-12.28434225107133</c:v>
                </c:pt>
                <c:pt idx="3">
                  <c:v>-7.5448235334337426</c:v>
                </c:pt>
                <c:pt idx="4">
                  <c:v>7.01365897613681</c:v>
                </c:pt>
                <c:pt idx="5">
                  <c:v>0.75159268118427747</c:v>
                </c:pt>
                <c:pt idx="6">
                  <c:v>1.7496222698536883</c:v>
                </c:pt>
                <c:pt idx="7">
                  <c:v>6.9717499492636819</c:v>
                </c:pt>
                <c:pt idx="8">
                  <c:v>-16.843855493317903</c:v>
                </c:pt>
                <c:pt idx="9">
                  <c:v>7.2583885247022124</c:v>
                </c:pt>
                <c:pt idx="10">
                  <c:v>-3.784162776793039</c:v>
                </c:pt>
                <c:pt idx="11">
                  <c:v>6.4495512299349116</c:v>
                </c:pt>
                <c:pt idx="12">
                  <c:v>5.9356340457851502</c:v>
                </c:pt>
                <c:pt idx="13">
                  <c:v>-1.4251325574117573</c:v>
                </c:pt>
                <c:pt idx="14">
                  <c:v>-3.2069092723572794</c:v>
                </c:pt>
                <c:pt idx="15">
                  <c:v>-7.2739163326752987</c:v>
                </c:pt>
                <c:pt idx="16">
                  <c:v>9.8855664317094352</c:v>
                </c:pt>
                <c:pt idx="17">
                  <c:v>-4.0072141248200523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Sheet1!$D$2:$D$19</c:f>
              <c:numCache>
                <c:formatCode>0</c:formatCode>
                <c:ptCount val="18"/>
                <c:pt idx="0">
                  <c:v>8.3456293715128247</c:v>
                </c:pt>
                <c:pt idx="1">
                  <c:v>10.354592233309983</c:v>
                </c:pt>
                <c:pt idx="2">
                  <c:v>-1.9297500177613465</c:v>
                </c:pt>
                <c:pt idx="3">
                  <c:v>-9.474573551195089</c:v>
                </c:pt>
                <c:pt idx="4">
                  <c:v>-2.460914575058279</c:v>
                </c:pt>
                <c:pt idx="5">
                  <c:v>-1.7093218938740016</c:v>
                </c:pt>
                <c:pt idx="6">
                  <c:v>4.030037597968672E-2</c:v>
                </c:pt>
                <c:pt idx="7">
                  <c:v>7.0120503252433686</c:v>
                </c:pt>
                <c:pt idx="8">
                  <c:v>-9.8318051680745349</c:v>
                </c:pt>
                <c:pt idx="9">
                  <c:v>-2.5734166433723225</c:v>
                </c:pt>
                <c:pt idx="10">
                  <c:v>-6.3575794201653615</c:v>
                </c:pt>
                <c:pt idx="11">
                  <c:v>9.1971809769550106E-2</c:v>
                </c:pt>
                <c:pt idx="12">
                  <c:v>6.0276058555547003</c:v>
                </c:pt>
                <c:pt idx="13">
                  <c:v>4.602473298142943</c:v>
                </c:pt>
                <c:pt idx="14">
                  <c:v>1.3955640257856636</c:v>
                </c:pt>
                <c:pt idx="15">
                  <c:v>-5.8783523068896351</c:v>
                </c:pt>
                <c:pt idx="16">
                  <c:v>4.0072141248198001</c:v>
                </c:pt>
                <c:pt idx="17">
                  <c:v>-2.5224267119483557E-13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567304"/>
        <c:axId val="256567696"/>
      </c:barChart>
      <c:catAx>
        <c:axId val="256567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67696"/>
        <c:crosses val="autoZero"/>
        <c:auto val="1"/>
        <c:lblAlgn val="ctr"/>
        <c:lblOffset val="100"/>
        <c:noMultiLvlLbl val="0"/>
      </c:catAx>
      <c:valAx>
        <c:axId val="25656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6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396211</xdr:colOff>
      <xdr:row>15</xdr:row>
      <xdr:rowOff>174625</xdr:rowOff>
    </xdr:from>
    <xdr:to>
      <xdr:col>10</xdr:col>
      <xdr:colOff>325438</xdr:colOff>
      <xdr:row>31</xdr:row>
      <xdr:rowOff>115891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564355</xdr:colOff>
      <xdr:row>17</xdr:row>
      <xdr:rowOff>123029</xdr:rowOff>
    </xdr:from>
    <xdr:to>
      <xdr:col>39</xdr:col>
      <xdr:colOff>546098</xdr:colOff>
      <xdr:row>31</xdr:row>
      <xdr:rowOff>169464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38100</xdr:rowOff>
    </xdr:from>
    <xdr:to>
      <xdr:col>13</xdr:col>
      <xdr:colOff>400049</xdr:colOff>
      <xdr:row>19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H32" sqref="H32"/>
    </sheetView>
  </sheetViews>
  <sheetFormatPr defaultRowHeight="15" x14ac:dyDescent="0.25"/>
  <cols>
    <col min="1" max="1" width="18" bestFit="1" customWidth="1"/>
  </cols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28">
        <v>0.99863628718126296</v>
      </c>
    </row>
    <row r="5" spans="1:9" x14ac:dyDescent="0.25">
      <c r="A5" s="3" t="s">
        <v>33</v>
      </c>
      <c r="B5" s="28">
        <v>0.99727443407517791</v>
      </c>
    </row>
    <row r="6" spans="1:9" x14ac:dyDescent="0.25">
      <c r="A6" s="3" t="s">
        <v>34</v>
      </c>
      <c r="B6" s="28">
        <v>0.99578776175254768</v>
      </c>
      <c r="C6" t="s">
        <v>60</v>
      </c>
    </row>
    <row r="7" spans="1:9" x14ac:dyDescent="0.25">
      <c r="A7" s="3" t="s">
        <v>35</v>
      </c>
      <c r="B7" s="3">
        <v>10.083424384231126</v>
      </c>
    </row>
    <row r="8" spans="1:9" ht="15.75" thickBot="1" x14ac:dyDescent="0.3">
      <c r="A8" s="4" t="s">
        <v>36</v>
      </c>
      <c r="B8" s="4">
        <v>18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6</v>
      </c>
      <c r="C12" s="3">
        <v>409229.34785734018</v>
      </c>
      <c r="D12" s="3">
        <v>68204.891309556697</v>
      </c>
      <c r="E12" s="3">
        <v>670.80984753304313</v>
      </c>
      <c r="F12" s="3">
        <v>1.9052456824266267E-13</v>
      </c>
    </row>
    <row r="13" spans="1:9" x14ac:dyDescent="0.25">
      <c r="A13" s="3" t="s">
        <v>39</v>
      </c>
      <c r="B13" s="3">
        <v>11</v>
      </c>
      <c r="C13" s="3">
        <v>1118.4299204375757</v>
      </c>
      <c r="D13" s="3">
        <v>101.67544731250688</v>
      </c>
      <c r="E13" s="3"/>
      <c r="F13" s="3"/>
    </row>
    <row r="14" spans="1:9" ht="15.75" thickBot="1" x14ac:dyDescent="0.3">
      <c r="A14" s="4" t="s">
        <v>40</v>
      </c>
      <c r="B14" s="4">
        <v>17</v>
      </c>
      <c r="C14" s="4">
        <v>410347.77777777775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-7.1343617798312025</v>
      </c>
      <c r="C17" s="3">
        <v>9.1282470012840058</v>
      </c>
      <c r="D17" s="3">
        <v>-0.7815697558170438</v>
      </c>
      <c r="E17" s="24">
        <v>0.45096224272586316</v>
      </c>
      <c r="F17" s="3">
        <v>-27.225497967308296</v>
      </c>
      <c r="G17" s="3">
        <v>12.956774407645892</v>
      </c>
      <c r="H17" s="3">
        <v>-27.225497967308296</v>
      </c>
      <c r="I17" s="3">
        <v>12.956774407645892</v>
      </c>
    </row>
    <row r="18" spans="1:9" x14ac:dyDescent="0.25">
      <c r="A18" s="3" t="s">
        <v>56</v>
      </c>
      <c r="B18" s="3">
        <v>-0.15175189264837086</v>
      </c>
      <c r="C18" s="3">
        <v>0.11550647193153139</v>
      </c>
      <c r="D18" s="3">
        <v>-1.3137955831455455</v>
      </c>
      <c r="E18" s="24">
        <v>0.21565517750400925</v>
      </c>
      <c r="F18" s="3">
        <v>-0.40597992326421284</v>
      </c>
      <c r="G18" s="3">
        <v>0.10247613796747113</v>
      </c>
      <c r="H18" s="3">
        <v>-0.40597992326421284</v>
      </c>
      <c r="I18" s="3">
        <v>0.10247613796747113</v>
      </c>
    </row>
    <row r="19" spans="1:9" x14ac:dyDescent="0.25">
      <c r="A19" s="3" t="s">
        <v>0</v>
      </c>
      <c r="B19" s="3">
        <v>1.9100516919880182E-3</v>
      </c>
      <c r="C19" s="3">
        <v>1.0096224782238115E-2</v>
      </c>
      <c r="D19" s="3">
        <v>0.18918474312777739</v>
      </c>
      <c r="E19" s="25">
        <v>0.85339349317799684</v>
      </c>
      <c r="F19" s="3">
        <v>-2.0311589226667506E-2</v>
      </c>
      <c r="G19" s="3">
        <v>2.4131692610643542E-2</v>
      </c>
      <c r="H19" s="3">
        <v>-2.0311589226667506E-2</v>
      </c>
      <c r="I19" s="3">
        <v>2.4131692610643542E-2</v>
      </c>
    </row>
    <row r="20" spans="1:9" x14ac:dyDescent="0.25">
      <c r="A20" s="3" t="s">
        <v>3</v>
      </c>
      <c r="B20" s="3">
        <v>7.0341355236090862E-3</v>
      </c>
      <c r="C20" s="3">
        <v>3.0880142354770372E-3</v>
      </c>
      <c r="D20" s="3">
        <v>2.2778831272202509</v>
      </c>
      <c r="E20" s="26">
        <v>4.3698366602684696E-2</v>
      </c>
      <c r="F20" s="3">
        <v>2.3746201717240144E-4</v>
      </c>
      <c r="G20" s="3">
        <v>1.3830809030045771E-2</v>
      </c>
      <c r="H20" s="3">
        <v>2.3746201717240144E-4</v>
      </c>
      <c r="I20" s="3">
        <v>1.3830809030045771E-2</v>
      </c>
    </row>
    <row r="21" spans="1:9" x14ac:dyDescent="0.25">
      <c r="A21" s="3" t="s">
        <v>4</v>
      </c>
      <c r="B21" s="3">
        <v>-2.1077621840818678E-3</v>
      </c>
      <c r="C21" s="3">
        <v>4.7163138525564427E-3</v>
      </c>
      <c r="D21" s="3">
        <v>-0.44690880420084239</v>
      </c>
      <c r="E21" s="25">
        <v>0.66361215933498463</v>
      </c>
      <c r="F21" s="3">
        <v>-1.2488298983893222E-2</v>
      </c>
      <c r="G21" s="3">
        <v>8.2727746157294849E-3</v>
      </c>
      <c r="H21" s="3">
        <v>-1.2488298983893222E-2</v>
      </c>
      <c r="I21" s="3">
        <v>8.2727746157294849E-3</v>
      </c>
    </row>
    <row r="22" spans="1:9" x14ac:dyDescent="0.25">
      <c r="A22" s="3" t="s">
        <v>5</v>
      </c>
      <c r="B22" s="3">
        <v>-1.519207102172014E-3</v>
      </c>
      <c r="C22" s="3">
        <v>5.3972442127070272E-3</v>
      </c>
      <c r="D22" s="3">
        <v>-0.28147829564488885</v>
      </c>
      <c r="E22" s="25">
        <v>0.78356818595743905</v>
      </c>
      <c r="F22" s="3">
        <v>-1.3398461519730658E-2</v>
      </c>
      <c r="G22" s="3">
        <v>1.0360047315386631E-2</v>
      </c>
      <c r="H22" s="3">
        <v>-1.3398461519730658E-2</v>
      </c>
      <c r="I22" s="3">
        <v>1.0360047315386631E-2</v>
      </c>
    </row>
    <row r="23" spans="1:9" ht="15.75" thickBot="1" x14ac:dyDescent="0.3">
      <c r="A23" s="4" t="s">
        <v>57</v>
      </c>
      <c r="B23" s="4">
        <v>9.2018673724104758</v>
      </c>
      <c r="C23" s="4">
        <v>4.0867003688727594</v>
      </c>
      <c r="D23" s="4">
        <v>2.2516618645444368</v>
      </c>
      <c r="E23" s="27">
        <v>4.5756382827280492E-2</v>
      </c>
      <c r="F23" s="4">
        <v>0.20710050678050784</v>
      </c>
      <c r="G23" s="4">
        <v>18.196634238040446</v>
      </c>
      <c r="H23" s="4">
        <v>0.20710050678050784</v>
      </c>
      <c r="I23" s="4">
        <v>18.196634238040446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1"/>
  <sheetViews>
    <sheetView topLeftCell="A22" workbookViewId="0">
      <selection activeCell="F61" sqref="F61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64</v>
      </c>
    </row>
    <row r="17" spans="1:1" x14ac:dyDescent="0.25">
      <c r="A17" t="s">
        <v>21</v>
      </c>
    </row>
    <row r="18" spans="1:1" x14ac:dyDescent="0.25">
      <c r="A18" t="s">
        <v>22</v>
      </c>
    </row>
    <row r="21" spans="1:1" x14ac:dyDescent="0.25">
      <c r="A21" t="s">
        <v>65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66</v>
      </c>
    </row>
    <row r="29" spans="1:1" x14ac:dyDescent="0.25">
      <c r="A29" t="s">
        <v>67</v>
      </c>
    </row>
    <row r="30" spans="1:1" x14ac:dyDescent="0.25">
      <c r="A30" t="s">
        <v>23</v>
      </c>
    </row>
    <row r="31" spans="1:1" x14ac:dyDescent="0.25">
      <c r="A31" t="s">
        <v>24</v>
      </c>
    </row>
    <row r="32" spans="1:1" x14ac:dyDescent="0.25">
      <c r="A32" t="s">
        <v>28</v>
      </c>
    </row>
    <row r="33" spans="1:1" x14ac:dyDescent="0.25">
      <c r="A33" t="s">
        <v>26</v>
      </c>
    </row>
    <row r="34" spans="1:1" x14ac:dyDescent="0.25">
      <c r="A34" t="s">
        <v>27</v>
      </c>
    </row>
    <row r="35" spans="1:1" x14ac:dyDescent="0.25">
      <c r="A35" t="s">
        <v>66</v>
      </c>
    </row>
    <row r="37" spans="1:1" x14ac:dyDescent="0.25">
      <c r="A37" t="s">
        <v>68</v>
      </c>
    </row>
    <row r="38" spans="1:1" x14ac:dyDescent="0.25">
      <c r="A38" t="s">
        <v>23</v>
      </c>
    </row>
    <row r="39" spans="1:1" x14ac:dyDescent="0.25">
      <c r="A39" t="s">
        <v>24</v>
      </c>
    </row>
    <row r="40" spans="1:1" x14ac:dyDescent="0.25">
      <c r="A40" t="s">
        <v>29</v>
      </c>
    </row>
    <row r="41" spans="1:1" x14ac:dyDescent="0.25">
      <c r="A41" t="s">
        <v>26</v>
      </c>
    </row>
    <row r="42" spans="1:1" x14ac:dyDescent="0.25">
      <c r="A42" t="s">
        <v>27</v>
      </c>
    </row>
    <row r="43" spans="1:1" x14ac:dyDescent="0.25">
      <c r="A43" t="s">
        <v>66</v>
      </c>
    </row>
    <row r="45" spans="1:1" x14ac:dyDescent="0.25">
      <c r="A45" t="s">
        <v>85</v>
      </c>
    </row>
    <row r="46" spans="1:1" x14ac:dyDescent="0.25">
      <c r="A46" t="s">
        <v>69</v>
      </c>
    </row>
    <row r="47" spans="1:1" x14ac:dyDescent="0.25">
      <c r="A47" t="s">
        <v>70</v>
      </c>
    </row>
    <row r="48" spans="1:1" x14ac:dyDescent="0.25">
      <c r="A48" t="s">
        <v>71</v>
      </c>
    </row>
    <row r="49" spans="1:1" x14ac:dyDescent="0.25">
      <c r="A49" t="s">
        <v>72</v>
      </c>
    </row>
    <row r="50" spans="1:1" x14ac:dyDescent="0.25">
      <c r="A50" t="s">
        <v>73</v>
      </c>
    </row>
    <row r="51" spans="1:1" x14ac:dyDescent="0.25">
      <c r="A51" t="s">
        <v>74</v>
      </c>
    </row>
    <row r="52" spans="1:1" x14ac:dyDescent="0.25">
      <c r="A52" t="s">
        <v>75</v>
      </c>
    </row>
    <row r="53" spans="1:1" x14ac:dyDescent="0.25">
      <c r="A53" t="s">
        <v>76</v>
      </c>
    </row>
    <row r="54" spans="1:1" x14ac:dyDescent="0.25">
      <c r="A54" t="s">
        <v>77</v>
      </c>
    </row>
    <row r="55" spans="1:1" x14ac:dyDescent="0.25">
      <c r="A55" t="s">
        <v>78</v>
      </c>
    </row>
    <row r="56" spans="1:1" x14ac:dyDescent="0.25">
      <c r="A56" t="s">
        <v>79</v>
      </c>
    </row>
    <row r="57" spans="1:1" x14ac:dyDescent="0.25">
      <c r="A57" t="s">
        <v>80</v>
      </c>
    </row>
    <row r="58" spans="1:1" x14ac:dyDescent="0.25">
      <c r="A58" t="s">
        <v>81</v>
      </c>
    </row>
    <row r="59" spans="1:1" x14ac:dyDescent="0.25">
      <c r="A59" t="s">
        <v>82</v>
      </c>
    </row>
    <row r="60" spans="1:1" x14ac:dyDescent="0.25">
      <c r="A60" t="s">
        <v>83</v>
      </c>
    </row>
    <row r="61" spans="1:1" x14ac:dyDescent="0.25">
      <c r="A61" t="s">
        <v>84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" sqref="B2"/>
    </sheetView>
  </sheetViews>
  <sheetFormatPr defaultRowHeight="15" x14ac:dyDescent="0.25"/>
  <cols>
    <col min="1" max="1" width="17" bestFit="1" customWidth="1"/>
    <col min="2" max="2" width="8.5703125" bestFit="1" customWidth="1"/>
    <col min="3" max="3" width="9.42578125" bestFit="1" customWidth="1"/>
  </cols>
  <sheetData>
    <row r="1" spans="1:4" ht="45" x14ac:dyDescent="0.25">
      <c r="A1" s="17" t="s">
        <v>6</v>
      </c>
      <c r="B1" s="17" t="s">
        <v>54</v>
      </c>
      <c r="C1" t="s">
        <v>61</v>
      </c>
    </row>
    <row r="2" spans="1:4" x14ac:dyDescent="0.25">
      <c r="A2" s="1">
        <v>17</v>
      </c>
      <c r="B2" s="9">
        <v>8.6543706284871753</v>
      </c>
      <c r="C2" s="31">
        <f>A2-B2</f>
        <v>8.3456293715128247</v>
      </c>
      <c r="D2" s="31">
        <f>C2</f>
        <v>8.3456293715128247</v>
      </c>
    </row>
    <row r="3" spans="1:4" x14ac:dyDescent="0.25">
      <c r="A3" s="1">
        <v>22</v>
      </c>
      <c r="B3" s="9">
        <v>19.991037138202842</v>
      </c>
      <c r="C3" s="31">
        <f t="shared" ref="C3:C19" si="0">A3-B3</f>
        <v>2.0089628617971584</v>
      </c>
      <c r="D3" s="31">
        <f>D2+C3</f>
        <v>10.354592233309983</v>
      </c>
    </row>
    <row r="4" spans="1:4" x14ac:dyDescent="0.25">
      <c r="A4" s="1">
        <v>24</v>
      </c>
      <c r="B4" s="9">
        <v>36.28434225107133</v>
      </c>
      <c r="C4" s="31">
        <f t="shared" si="0"/>
        <v>-12.28434225107133</v>
      </c>
      <c r="D4" s="31">
        <f t="shared" ref="D4:D19" si="1">D3+C4</f>
        <v>-1.9297500177613465</v>
      </c>
    </row>
    <row r="5" spans="1:4" x14ac:dyDescent="0.25">
      <c r="A5" s="1">
        <v>46</v>
      </c>
      <c r="B5" s="9">
        <v>53.544823533433743</v>
      </c>
      <c r="C5" s="31">
        <f t="shared" si="0"/>
        <v>-7.5448235334337426</v>
      </c>
      <c r="D5" s="31">
        <f t="shared" si="1"/>
        <v>-9.474573551195089</v>
      </c>
    </row>
    <row r="6" spans="1:4" x14ac:dyDescent="0.25">
      <c r="A6" s="10">
        <v>115</v>
      </c>
      <c r="B6" s="9">
        <v>107.98634102386319</v>
      </c>
      <c r="C6" s="31">
        <f t="shared" si="0"/>
        <v>7.01365897613681</v>
      </c>
      <c r="D6" s="31">
        <f t="shared" si="1"/>
        <v>-2.460914575058279</v>
      </c>
    </row>
    <row r="7" spans="1:4" x14ac:dyDescent="0.25">
      <c r="A7" s="1">
        <v>123</v>
      </c>
      <c r="B7" s="9">
        <v>122.24840731881572</v>
      </c>
      <c r="C7" s="31">
        <f t="shared" si="0"/>
        <v>0.75159268118427747</v>
      </c>
      <c r="D7" s="31">
        <f t="shared" si="1"/>
        <v>-1.7093218938740016</v>
      </c>
    </row>
    <row r="8" spans="1:4" x14ac:dyDescent="0.25">
      <c r="A8" s="1">
        <v>143</v>
      </c>
      <c r="B8" s="9">
        <v>141.25037773014631</v>
      </c>
      <c r="C8" s="31">
        <f t="shared" si="0"/>
        <v>1.7496222698536883</v>
      </c>
      <c r="D8" s="31">
        <f t="shared" si="1"/>
        <v>4.030037597968672E-2</v>
      </c>
    </row>
    <row r="9" spans="1:4" x14ac:dyDescent="0.25">
      <c r="A9" s="1">
        <v>161</v>
      </c>
      <c r="B9" s="9">
        <v>154.02825005073632</v>
      </c>
      <c r="C9" s="31">
        <f t="shared" si="0"/>
        <v>6.9717499492636819</v>
      </c>
      <c r="D9" s="31">
        <f t="shared" si="1"/>
        <v>7.0120503252433686</v>
      </c>
    </row>
    <row r="10" spans="1:4" x14ac:dyDescent="0.25">
      <c r="A10" s="1">
        <v>171</v>
      </c>
      <c r="B10" s="9">
        <v>187.8438554933179</v>
      </c>
      <c r="C10" s="31">
        <f t="shared" si="0"/>
        <v>-16.843855493317903</v>
      </c>
      <c r="D10" s="31">
        <f t="shared" si="1"/>
        <v>-9.8318051680745349</v>
      </c>
    </row>
    <row r="11" spans="1:4" x14ac:dyDescent="0.25">
      <c r="A11" s="1">
        <v>223</v>
      </c>
      <c r="B11" s="9">
        <v>215.74161147529779</v>
      </c>
      <c r="C11" s="31">
        <f t="shared" si="0"/>
        <v>7.2583885247022124</v>
      </c>
      <c r="D11" s="31">
        <f t="shared" si="1"/>
        <v>-2.5734166433723225</v>
      </c>
    </row>
    <row r="12" spans="1:4" x14ac:dyDescent="0.25">
      <c r="A12" s="1">
        <v>259</v>
      </c>
      <c r="B12" s="9">
        <v>262.78416277679304</v>
      </c>
      <c r="C12" s="31">
        <f t="shared" si="0"/>
        <v>-3.784162776793039</v>
      </c>
      <c r="D12" s="31">
        <f t="shared" si="1"/>
        <v>-6.3575794201653615</v>
      </c>
    </row>
    <row r="13" spans="1:4" x14ac:dyDescent="0.25">
      <c r="A13" s="1">
        <v>284</v>
      </c>
      <c r="B13" s="9">
        <v>277.55044877006509</v>
      </c>
      <c r="C13" s="31">
        <f t="shared" si="0"/>
        <v>6.4495512299349116</v>
      </c>
      <c r="D13" s="31">
        <f t="shared" si="1"/>
        <v>9.1971809769550106E-2</v>
      </c>
    </row>
    <row r="14" spans="1:4" x14ac:dyDescent="0.25">
      <c r="A14" s="1">
        <v>322</v>
      </c>
      <c r="B14" s="9">
        <v>316.06436595421485</v>
      </c>
      <c r="C14" s="31">
        <f t="shared" si="0"/>
        <v>5.9356340457851502</v>
      </c>
      <c r="D14" s="31">
        <f t="shared" si="1"/>
        <v>6.0276058555547003</v>
      </c>
    </row>
    <row r="15" spans="1:4" x14ac:dyDescent="0.25">
      <c r="A15" s="1">
        <v>344</v>
      </c>
      <c r="B15" s="9">
        <v>345.42513255741176</v>
      </c>
      <c r="C15" s="31">
        <f t="shared" si="0"/>
        <v>-1.4251325574117573</v>
      </c>
      <c r="D15" s="31">
        <f t="shared" si="1"/>
        <v>4.602473298142943</v>
      </c>
    </row>
    <row r="16" spans="1:4" x14ac:dyDescent="0.25">
      <c r="A16" s="1">
        <v>390</v>
      </c>
      <c r="B16" s="9">
        <v>393.20690927235728</v>
      </c>
      <c r="C16" s="31">
        <f t="shared" si="0"/>
        <v>-3.2069092723572794</v>
      </c>
      <c r="D16" s="31">
        <f t="shared" si="1"/>
        <v>1.3955640257856636</v>
      </c>
    </row>
    <row r="17" spans="1:4" x14ac:dyDescent="0.25">
      <c r="A17" s="1">
        <v>428</v>
      </c>
      <c r="B17" s="9">
        <v>435.2739163326753</v>
      </c>
      <c r="C17" s="31">
        <f t="shared" si="0"/>
        <v>-7.2739163326752987</v>
      </c>
      <c r="D17" s="31">
        <f t="shared" si="1"/>
        <v>-5.8783523068896351</v>
      </c>
    </row>
    <row r="18" spans="1:4" x14ac:dyDescent="0.25">
      <c r="A18" s="1">
        <v>453</v>
      </c>
      <c r="B18" s="9">
        <v>443.11443356829056</v>
      </c>
      <c r="C18" s="31">
        <f t="shared" si="0"/>
        <v>9.8855664317094352</v>
      </c>
      <c r="D18" s="31">
        <f t="shared" si="1"/>
        <v>4.0072141248198001</v>
      </c>
    </row>
    <row r="19" spans="1:4" x14ac:dyDescent="0.25">
      <c r="A19" s="1">
        <v>487</v>
      </c>
      <c r="B19" s="9">
        <v>491.00721412482005</v>
      </c>
      <c r="C19" s="31">
        <f t="shared" si="0"/>
        <v>-4.0072141248200523</v>
      </c>
      <c r="D19" s="31">
        <f t="shared" si="1"/>
        <v>-2.5224267119483557E-13</v>
      </c>
    </row>
    <row r="20" spans="1:4" x14ac:dyDescent="0.25">
      <c r="B20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14" sqref="L14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0.73690870905327677</v>
      </c>
    </row>
    <row r="5" spans="1:9" x14ac:dyDescent="0.25">
      <c r="A5" s="3" t="s">
        <v>33</v>
      </c>
      <c r="B5" s="3">
        <v>0.54303444547856683</v>
      </c>
    </row>
    <row r="6" spans="1:9" x14ac:dyDescent="0.25">
      <c r="A6" s="3" t="s">
        <v>34</v>
      </c>
      <c r="B6" s="3">
        <v>0.29378050664869415</v>
      </c>
    </row>
    <row r="7" spans="1:9" x14ac:dyDescent="0.25">
      <c r="A7" s="3" t="s">
        <v>35</v>
      </c>
      <c r="B7" s="3">
        <v>14.653667131305195</v>
      </c>
    </row>
    <row r="8" spans="1:9" ht="15.75" thickBot="1" x14ac:dyDescent="0.3">
      <c r="A8" s="4" t="s">
        <v>36</v>
      </c>
      <c r="B8" s="4">
        <v>18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6</v>
      </c>
      <c r="C12" s="3">
        <v>2806.9148800984071</v>
      </c>
      <c r="D12" s="3">
        <v>467.81914668306786</v>
      </c>
      <c r="E12" s="3">
        <v>2.1786393748795003</v>
      </c>
      <c r="F12" s="3">
        <v>0.12469989859203114</v>
      </c>
    </row>
    <row r="13" spans="1:9" x14ac:dyDescent="0.25">
      <c r="A13" s="3" t="s">
        <v>39</v>
      </c>
      <c r="B13" s="3">
        <v>11</v>
      </c>
      <c r="C13" s="3">
        <v>2362.0295643460363</v>
      </c>
      <c r="D13" s="3">
        <v>214.7299603950942</v>
      </c>
      <c r="E13" s="3"/>
      <c r="F13" s="3"/>
    </row>
    <row r="14" spans="1:9" ht="15.75" thickBot="1" x14ac:dyDescent="0.3">
      <c r="A14" s="4" t="s">
        <v>40</v>
      </c>
      <c r="B14" s="4">
        <v>17</v>
      </c>
      <c r="C14" s="4">
        <v>5168.9444444444434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-7.9154271725181413E-2</v>
      </c>
      <c r="C17" s="3">
        <v>12.819589388898271</v>
      </c>
      <c r="D17" s="3">
        <v>-6.1744779277976558E-3</v>
      </c>
      <c r="E17" s="3">
        <v>0.99518406708841234</v>
      </c>
      <c r="F17" s="3">
        <v>-28.294880275158508</v>
      </c>
      <c r="G17" s="3">
        <v>28.136571731708148</v>
      </c>
      <c r="H17" s="3">
        <v>-28.294880275158508</v>
      </c>
      <c r="I17" s="3">
        <v>28.136571731708148</v>
      </c>
    </row>
    <row r="18" spans="1:9" x14ac:dyDescent="0.25">
      <c r="A18" s="3" t="s">
        <v>56</v>
      </c>
      <c r="B18" s="3">
        <v>-0.1885237811498795</v>
      </c>
      <c r="C18" s="3">
        <v>0.17363675423669012</v>
      </c>
      <c r="D18" s="3">
        <v>-1.0857366113449483</v>
      </c>
      <c r="E18" s="7">
        <v>0.30081632685160298</v>
      </c>
      <c r="F18" s="3">
        <v>-0.57069570047131335</v>
      </c>
      <c r="G18" s="3">
        <v>0.19364813817155435</v>
      </c>
      <c r="H18" s="3">
        <v>-0.57069570047131335</v>
      </c>
      <c r="I18" s="3">
        <v>0.19364813817155435</v>
      </c>
    </row>
    <row r="19" spans="1:9" x14ac:dyDescent="0.25">
      <c r="A19" s="3" t="s">
        <v>0</v>
      </c>
      <c r="B19" s="3">
        <v>3.8075154102539814E-3</v>
      </c>
      <c r="C19" s="3">
        <v>1.2462975435244812E-2</v>
      </c>
      <c r="D19" s="3">
        <v>0.30550613134376203</v>
      </c>
      <c r="E19" s="23">
        <v>0.76568428419208168</v>
      </c>
      <c r="F19" s="3">
        <v>-2.3623308573306478E-2</v>
      </c>
      <c r="G19" s="3">
        <v>3.123833939381444E-2</v>
      </c>
      <c r="H19" s="3">
        <v>-2.3623308573306478E-2</v>
      </c>
      <c r="I19" s="3">
        <v>3.123833939381444E-2</v>
      </c>
    </row>
    <row r="20" spans="1:9" x14ac:dyDescent="0.25">
      <c r="A20" s="3" t="s">
        <v>3</v>
      </c>
      <c r="B20" s="3">
        <v>7.9244792426019263E-3</v>
      </c>
      <c r="C20" s="3">
        <v>4.9816586181869174E-3</v>
      </c>
      <c r="D20" s="3">
        <v>1.590731089776291</v>
      </c>
      <c r="E20" s="29">
        <v>0.13997736334674557</v>
      </c>
      <c r="F20" s="3">
        <v>-3.0400774486700963E-3</v>
      </c>
      <c r="G20" s="3">
        <v>1.8889035933873949E-2</v>
      </c>
      <c r="H20" s="3">
        <v>-3.0400774486700963E-3</v>
      </c>
      <c r="I20" s="3">
        <v>1.8889035933873949E-2</v>
      </c>
    </row>
    <row r="21" spans="1:9" x14ac:dyDescent="0.25">
      <c r="A21" s="3" t="s">
        <v>4</v>
      </c>
      <c r="B21" s="3">
        <v>-2.3670078556361218E-3</v>
      </c>
      <c r="C21" s="3">
        <v>5.2360758227309274E-3</v>
      </c>
      <c r="D21" s="3">
        <v>-0.45205759728696698</v>
      </c>
      <c r="E21" s="23">
        <v>0.66001165965722408</v>
      </c>
      <c r="F21" s="3">
        <v>-1.3891533038581509E-2</v>
      </c>
      <c r="G21" s="3">
        <v>9.1575173273092652E-3</v>
      </c>
      <c r="H21" s="3">
        <v>-1.3891533038581509E-2</v>
      </c>
      <c r="I21" s="3">
        <v>9.1575173273092652E-3</v>
      </c>
    </row>
    <row r="22" spans="1:9" x14ac:dyDescent="0.25">
      <c r="A22" s="3" t="s">
        <v>5</v>
      </c>
      <c r="B22" s="3">
        <v>2.249103200267196E-4</v>
      </c>
      <c r="C22" s="3">
        <v>5.1283282846170206E-3</v>
      </c>
      <c r="D22" s="3">
        <v>4.3856459170401124E-2</v>
      </c>
      <c r="E22" s="23">
        <v>0.96580481837385379</v>
      </c>
      <c r="F22" s="3">
        <v>-1.1062464130493549E-2</v>
      </c>
      <c r="G22" s="3">
        <v>1.151228477054699E-2</v>
      </c>
      <c r="H22" s="3">
        <v>-1.1062464130493549E-2</v>
      </c>
      <c r="I22" s="3">
        <v>1.151228477054699E-2</v>
      </c>
    </row>
    <row r="23" spans="1:9" ht="15.75" thickBot="1" x14ac:dyDescent="0.3">
      <c r="A23" s="4" t="s">
        <v>57</v>
      </c>
      <c r="B23" s="4">
        <v>9.4158225411575671</v>
      </c>
      <c r="C23" s="4">
        <v>4.3973005987749536</v>
      </c>
      <c r="D23" s="4">
        <v>2.1412733402353084</v>
      </c>
      <c r="E23" s="30">
        <v>5.5482385163067388E-2</v>
      </c>
      <c r="F23" s="4">
        <v>-0.26257082120818076</v>
      </c>
      <c r="G23" s="4">
        <v>19.094215903523313</v>
      </c>
      <c r="H23" s="4">
        <v>-0.26257082120818076</v>
      </c>
      <c r="I23" s="4">
        <v>19.094215903523313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35" sqref="E35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0.99879359620664954</v>
      </c>
    </row>
    <row r="5" spans="1:9" x14ac:dyDescent="0.25">
      <c r="A5" s="3" t="s">
        <v>33</v>
      </c>
      <c r="B5" s="3">
        <v>0.99758864782341161</v>
      </c>
    </row>
    <row r="6" spans="1:9" x14ac:dyDescent="0.25">
      <c r="A6" s="3" t="s">
        <v>34</v>
      </c>
      <c r="B6" s="3">
        <v>0.99627336481799977</v>
      </c>
    </row>
    <row r="7" spans="1:9" x14ac:dyDescent="0.25">
      <c r="A7" s="3" t="s">
        <v>35</v>
      </c>
      <c r="B7" s="3">
        <v>9.4844034992508757</v>
      </c>
    </row>
    <row r="8" spans="1:9" ht="15.75" thickBot="1" x14ac:dyDescent="0.3">
      <c r="A8" s="4" t="s">
        <v>36</v>
      </c>
      <c r="B8" s="4">
        <v>18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6</v>
      </c>
      <c r="C12" s="3">
        <v>409358.28477067512</v>
      </c>
      <c r="D12" s="3">
        <v>68226.38079511252</v>
      </c>
      <c r="E12" s="3">
        <v>758.45931538594573</v>
      </c>
      <c r="F12" s="3">
        <v>9.7186098934748584E-14</v>
      </c>
    </row>
    <row r="13" spans="1:9" x14ac:dyDescent="0.25">
      <c r="A13" s="3" t="s">
        <v>39</v>
      </c>
      <c r="B13" s="3">
        <v>11</v>
      </c>
      <c r="C13" s="3">
        <v>989.49300710262492</v>
      </c>
      <c r="D13" s="3">
        <v>89.95390973660227</v>
      </c>
      <c r="E13" s="3"/>
      <c r="F13" s="3"/>
    </row>
    <row r="14" spans="1:9" ht="15.75" thickBot="1" x14ac:dyDescent="0.3">
      <c r="A14" s="4" t="s">
        <v>40</v>
      </c>
      <c r="B14" s="4">
        <v>17</v>
      </c>
      <c r="C14" s="4">
        <v>410347.77777777775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-4.1146786201041152</v>
      </c>
      <c r="C17" s="3">
        <v>8.9242359801873654</v>
      </c>
      <c r="D17" s="3">
        <v>-0.46106788628618572</v>
      </c>
      <c r="E17" s="3">
        <v>0.65373246972778654</v>
      </c>
      <c r="F17" s="3">
        <v>-23.756789577652363</v>
      </c>
      <c r="G17" s="3">
        <v>15.527432337444132</v>
      </c>
      <c r="H17" s="3">
        <v>-23.756789577652363</v>
      </c>
      <c r="I17" s="3">
        <v>15.527432337444132</v>
      </c>
    </row>
    <row r="18" spans="1:9" x14ac:dyDescent="0.25">
      <c r="A18" s="3" t="s">
        <v>56</v>
      </c>
      <c r="B18" s="3">
        <v>-0.33199645274809692</v>
      </c>
      <c r="C18" s="3">
        <v>0.12018647304461932</v>
      </c>
      <c r="D18" s="3">
        <v>-2.7623445828620246</v>
      </c>
      <c r="E18" s="3">
        <v>1.847823654528678E-2</v>
      </c>
      <c r="F18" s="3">
        <v>-0.59652509636305773</v>
      </c>
      <c r="G18" s="3">
        <v>-6.7467809133136047E-2</v>
      </c>
      <c r="H18" s="3">
        <v>-0.59652509636305773</v>
      </c>
      <c r="I18" s="3">
        <v>-6.7467809133136047E-2</v>
      </c>
    </row>
    <row r="19" spans="1:9" x14ac:dyDescent="0.25">
      <c r="A19" s="3" t="s">
        <v>0</v>
      </c>
      <c r="B19" s="3">
        <v>5.5606671547728057E-3</v>
      </c>
      <c r="C19" s="3">
        <v>9.4765754755824997E-3</v>
      </c>
      <c r="D19" s="3">
        <v>0.58678023185701544</v>
      </c>
      <c r="E19" s="3">
        <v>0.56919802487520077</v>
      </c>
      <c r="F19" s="3">
        <v>-1.5297134835472638E-2</v>
      </c>
      <c r="G19" s="3">
        <v>2.6418469145018247E-2</v>
      </c>
      <c r="H19" s="3">
        <v>-1.5297134835472638E-2</v>
      </c>
      <c r="I19" s="3">
        <v>2.6418469145018247E-2</v>
      </c>
    </row>
    <row r="20" spans="1:9" x14ac:dyDescent="0.25">
      <c r="A20" s="3" t="s">
        <v>3</v>
      </c>
      <c r="B20" s="3">
        <v>8.4118196687198651E-3</v>
      </c>
      <c r="C20" s="3">
        <v>2.612274001626216E-3</v>
      </c>
      <c r="D20" s="3">
        <v>3.2201138408464289</v>
      </c>
      <c r="E20" s="3">
        <v>8.1574160068822697E-3</v>
      </c>
      <c r="F20" s="3">
        <v>2.6622433570473629E-3</v>
      </c>
      <c r="G20" s="3">
        <v>1.4161395980392368E-2</v>
      </c>
      <c r="H20" s="3">
        <v>2.6622433570473629E-3</v>
      </c>
      <c r="I20" s="3">
        <v>1.4161395980392368E-2</v>
      </c>
    </row>
    <row r="21" spans="1:9" x14ac:dyDescent="0.25">
      <c r="A21" s="3" t="s">
        <v>4</v>
      </c>
      <c r="B21" s="3">
        <v>-4.1166914271090378E-3</v>
      </c>
      <c r="C21" s="3">
        <v>4.2394581630088995E-3</v>
      </c>
      <c r="D21" s="3">
        <v>-0.97104188054712881</v>
      </c>
      <c r="E21" s="3">
        <v>0.35239554537992845</v>
      </c>
      <c r="F21" s="3">
        <v>-1.3447675930720984E-2</v>
      </c>
      <c r="G21" s="3">
        <v>5.2142930765029082E-3</v>
      </c>
      <c r="H21" s="3">
        <v>-1.3447675930720984E-2</v>
      </c>
      <c r="I21" s="3">
        <v>5.2142930765029082E-3</v>
      </c>
    </row>
    <row r="22" spans="1:9" x14ac:dyDescent="0.25">
      <c r="A22" s="3" t="s">
        <v>5</v>
      </c>
      <c r="B22" s="3">
        <v>-1.762027241589329E-3</v>
      </c>
      <c r="C22" s="3">
        <v>5.0709793214869254E-3</v>
      </c>
      <c r="D22" s="3">
        <v>-0.34747277199952431</v>
      </c>
      <c r="E22" s="3">
        <v>0.73479356579193955</v>
      </c>
      <c r="F22" s="3">
        <v>-1.2923177475313618E-2</v>
      </c>
      <c r="G22" s="3">
        <v>9.3991229921349586E-3</v>
      </c>
      <c r="H22" s="3">
        <v>-1.2923177475313618E-2</v>
      </c>
      <c r="I22" s="3">
        <v>9.3991229921349586E-3</v>
      </c>
    </row>
    <row r="23" spans="1:9" ht="15.75" thickBot="1" x14ac:dyDescent="0.3">
      <c r="A23" s="4" t="s">
        <v>57</v>
      </c>
      <c r="B23" s="4">
        <v>9.6819756297040307</v>
      </c>
      <c r="C23" s="4">
        <v>3.6173147211480869</v>
      </c>
      <c r="D23" s="4">
        <v>2.676564351202237</v>
      </c>
      <c r="E23" s="4">
        <v>2.1539977109300164E-2</v>
      </c>
      <c r="F23" s="4">
        <v>1.7203196090760686</v>
      </c>
      <c r="G23" s="4">
        <v>17.643631650331994</v>
      </c>
      <c r="H23" s="4">
        <v>1.7203196090760686</v>
      </c>
      <c r="I23" s="4">
        <v>17.643631650331994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J35" sqref="J35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0.70268016541061007</v>
      </c>
    </row>
    <row r="5" spans="1:9" x14ac:dyDescent="0.25">
      <c r="A5" s="3" t="s">
        <v>33</v>
      </c>
      <c r="B5" s="3">
        <v>0.49375941486148239</v>
      </c>
    </row>
    <row r="6" spans="1:9" x14ac:dyDescent="0.25">
      <c r="A6" s="3" t="s">
        <v>34</v>
      </c>
      <c r="B6" s="3">
        <v>0.2176281866041091</v>
      </c>
    </row>
    <row r="7" spans="1:9" x14ac:dyDescent="0.25">
      <c r="A7" s="3" t="s">
        <v>35</v>
      </c>
      <c r="B7" s="3">
        <v>15.423504672190914</v>
      </c>
    </row>
    <row r="8" spans="1:9" ht="15.75" thickBot="1" x14ac:dyDescent="0.3">
      <c r="A8" s="4" t="s">
        <v>36</v>
      </c>
      <c r="B8" s="4">
        <v>18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6</v>
      </c>
      <c r="C12" s="3">
        <v>2552.2149843403986</v>
      </c>
      <c r="D12" s="3">
        <v>425.3691640567331</v>
      </c>
      <c r="E12" s="3">
        <v>1.788133192966008</v>
      </c>
      <c r="F12" s="3">
        <v>0.19099809013098987</v>
      </c>
    </row>
    <row r="13" spans="1:9" x14ac:dyDescent="0.25">
      <c r="A13" s="3" t="s">
        <v>39</v>
      </c>
      <c r="B13" s="3">
        <v>11</v>
      </c>
      <c r="C13" s="3">
        <v>2616.7294601040448</v>
      </c>
      <c r="D13" s="3">
        <v>237.88449637309498</v>
      </c>
      <c r="E13" s="3"/>
      <c r="F13" s="3"/>
    </row>
    <row r="14" spans="1:9" ht="15.75" thickBot="1" x14ac:dyDescent="0.3">
      <c r="A14" s="4" t="s">
        <v>40</v>
      </c>
      <c r="B14" s="4">
        <v>17</v>
      </c>
      <c r="C14" s="4">
        <v>5168.9444444444434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2.1897062431431511</v>
      </c>
      <c r="C17" s="3">
        <v>13.72477345080266</v>
      </c>
      <c r="D17" s="3">
        <v>0.15954407196536213</v>
      </c>
      <c r="E17" s="3">
        <v>0.87613202637332188</v>
      </c>
      <c r="F17" s="3">
        <v>-28.018316447693209</v>
      </c>
      <c r="G17" s="3">
        <v>32.397728933979515</v>
      </c>
      <c r="H17" s="3">
        <v>-28.018316447693209</v>
      </c>
      <c r="I17" s="3">
        <v>32.397728933979515</v>
      </c>
    </row>
    <row r="18" spans="1:9" x14ac:dyDescent="0.25">
      <c r="A18" s="3" t="s">
        <v>56</v>
      </c>
      <c r="B18" s="3">
        <v>-0.25464233080638532</v>
      </c>
      <c r="C18" s="3">
        <v>0.19042227468134237</v>
      </c>
      <c r="D18" s="3">
        <v>-1.3372507561550269</v>
      </c>
      <c r="E18" s="3">
        <v>0.20813560896634661</v>
      </c>
      <c r="F18" s="3">
        <v>-0.6737589315309136</v>
      </c>
      <c r="G18" s="3">
        <v>0.16447426991814296</v>
      </c>
      <c r="H18" s="3">
        <v>-0.6737589315309136</v>
      </c>
      <c r="I18" s="3">
        <v>0.16447426991814296</v>
      </c>
    </row>
    <row r="19" spans="1:9" x14ac:dyDescent="0.25">
      <c r="A19" s="3" t="s">
        <v>0</v>
      </c>
      <c r="B19" s="3">
        <v>4.2273059925638469E-3</v>
      </c>
      <c r="C19" s="3">
        <v>1.3126959225242516E-2</v>
      </c>
      <c r="D19" s="3">
        <v>0.32203238541603291</v>
      </c>
      <c r="E19" s="3">
        <v>0.75346530840987425</v>
      </c>
      <c r="F19" s="3">
        <v>-2.466493645932296E-2</v>
      </c>
      <c r="G19" s="3">
        <v>3.3119548444450655E-2</v>
      </c>
      <c r="H19" s="3">
        <v>-2.466493645932296E-2</v>
      </c>
      <c r="I19" s="3">
        <v>3.3119548444450655E-2</v>
      </c>
    </row>
    <row r="20" spans="1:9" x14ac:dyDescent="0.25">
      <c r="A20" s="3" t="s">
        <v>3</v>
      </c>
      <c r="B20" s="3">
        <v>8.2726127382616622E-3</v>
      </c>
      <c r="C20" s="3">
        <v>5.2437988888214999E-3</v>
      </c>
      <c r="D20" s="3">
        <v>1.5775991630603634</v>
      </c>
      <c r="E20" s="3">
        <v>0.14296220484612965</v>
      </c>
      <c r="F20" s="3">
        <v>-3.2689107985394827E-3</v>
      </c>
      <c r="G20" s="3">
        <v>1.9814136275062809E-2</v>
      </c>
      <c r="H20" s="3">
        <v>-3.2689107985394827E-3</v>
      </c>
      <c r="I20" s="3">
        <v>1.9814136275062809E-2</v>
      </c>
    </row>
    <row r="21" spans="1:9" x14ac:dyDescent="0.25">
      <c r="A21" s="3" t="s">
        <v>4</v>
      </c>
      <c r="B21" s="3">
        <v>-3.5754809232479336E-3</v>
      </c>
      <c r="C21" s="3">
        <v>5.4533729816586465E-3</v>
      </c>
      <c r="D21" s="3">
        <v>-0.65564576919153783</v>
      </c>
      <c r="E21" s="3">
        <v>0.52552751668682562</v>
      </c>
      <c r="F21" s="3">
        <v>-1.5578273928323305E-2</v>
      </c>
      <c r="G21" s="3">
        <v>8.4273120818274382E-3</v>
      </c>
      <c r="H21" s="3">
        <v>-1.5578273928323305E-2</v>
      </c>
      <c r="I21" s="3">
        <v>8.4273120818274382E-3</v>
      </c>
    </row>
    <row r="22" spans="1:9" x14ac:dyDescent="0.25">
      <c r="A22" s="3" t="s">
        <v>5</v>
      </c>
      <c r="B22" s="3">
        <v>2.0138087369947952E-3</v>
      </c>
      <c r="C22" s="3">
        <v>5.5431887868014236E-3</v>
      </c>
      <c r="D22" s="3">
        <v>0.36329427238519502</v>
      </c>
      <c r="E22" s="3">
        <v>0.72327021274382597</v>
      </c>
      <c r="F22" s="3">
        <v>-1.018666752234151E-2</v>
      </c>
      <c r="G22" s="3">
        <v>1.4214284996331102E-2</v>
      </c>
      <c r="H22" s="3">
        <v>-1.018666752234151E-2</v>
      </c>
      <c r="I22" s="3">
        <v>1.4214284996331102E-2</v>
      </c>
    </row>
    <row r="23" spans="1:9" ht="15.75" thickBot="1" x14ac:dyDescent="0.3">
      <c r="A23" s="4" t="s">
        <v>57</v>
      </c>
      <c r="B23" s="4">
        <v>7.1025112994442843</v>
      </c>
      <c r="C23" s="4">
        <v>4.0548872348888683</v>
      </c>
      <c r="D23" s="4">
        <v>1.7515928034528787</v>
      </c>
      <c r="E23" s="4">
        <v>0.10763833942758637</v>
      </c>
      <c r="F23" s="4">
        <v>-1.8222353303911323</v>
      </c>
      <c r="G23" s="4">
        <v>16.027257929279699</v>
      </c>
      <c r="H23" s="4">
        <v>-1.8222353303911323</v>
      </c>
      <c r="I23" s="4">
        <v>16.027257929279699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H21" sqref="H21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0.99850735885669151</v>
      </c>
    </row>
    <row r="5" spans="1:9" x14ac:dyDescent="0.25">
      <c r="A5" s="3" t="s">
        <v>33</v>
      </c>
      <c r="B5" s="3">
        <v>0.99701694569096577</v>
      </c>
    </row>
    <row r="6" spans="1:9" x14ac:dyDescent="0.25">
      <c r="A6" s="3" t="s">
        <v>34</v>
      </c>
      <c r="B6" s="3">
        <v>0.99484745164803168</v>
      </c>
    </row>
    <row r="7" spans="1:9" x14ac:dyDescent="0.25">
      <c r="A7" s="3" t="s">
        <v>35</v>
      </c>
      <c r="B7" s="3">
        <v>12.551585480266988</v>
      </c>
    </row>
    <row r="8" spans="1:9" ht="15.75" thickBot="1" x14ac:dyDescent="0.3">
      <c r="A8" s="4" t="s">
        <v>36</v>
      </c>
      <c r="B8" s="4">
        <v>20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8</v>
      </c>
      <c r="C12" s="3">
        <v>579203.58472124697</v>
      </c>
      <c r="D12" s="3">
        <v>72400.448090155871</v>
      </c>
      <c r="E12" s="3">
        <v>459.56196512189558</v>
      </c>
      <c r="F12" s="3">
        <v>8.8427242653372424E-13</v>
      </c>
    </row>
    <row r="13" spans="1:9" x14ac:dyDescent="0.25">
      <c r="A13" s="3" t="s">
        <v>39</v>
      </c>
      <c r="B13" s="3">
        <v>11</v>
      </c>
      <c r="C13" s="3">
        <v>1732.9652787529396</v>
      </c>
      <c r="D13" s="3">
        <v>157.54229806844907</v>
      </c>
      <c r="E13" s="3"/>
      <c r="F13" s="3"/>
    </row>
    <row r="14" spans="1:9" ht="15.75" thickBot="1" x14ac:dyDescent="0.3">
      <c r="A14" s="4" t="s">
        <v>40</v>
      </c>
      <c r="B14" s="4">
        <v>19</v>
      </c>
      <c r="C14" s="4">
        <v>580936.54999999993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-7.4678057887423535</v>
      </c>
      <c r="C17" s="3">
        <v>13.017929814743729</v>
      </c>
      <c r="D17" s="3">
        <v>-0.57365540412458926</v>
      </c>
      <c r="E17" s="3">
        <v>0.57774125164840651</v>
      </c>
      <c r="F17" s="3">
        <v>-36.12007612610779</v>
      </c>
      <c r="G17" s="3">
        <v>21.184464548623087</v>
      </c>
      <c r="H17" s="3">
        <v>-36.12007612610779</v>
      </c>
      <c r="I17" s="3">
        <v>21.184464548623087</v>
      </c>
    </row>
    <row r="18" spans="1:9" x14ac:dyDescent="0.25">
      <c r="A18" s="3" t="s">
        <v>1</v>
      </c>
      <c r="B18" s="3">
        <v>15.969765819856317</v>
      </c>
      <c r="C18" s="3">
        <v>8.5532738332044254</v>
      </c>
      <c r="D18" s="3">
        <v>1.8670939492034657</v>
      </c>
      <c r="E18" s="3">
        <v>8.8747542400008483E-2</v>
      </c>
      <c r="F18" s="3">
        <v>-2.8558629572267478</v>
      </c>
      <c r="G18" s="3">
        <v>34.795394596939381</v>
      </c>
      <c r="H18" s="3">
        <v>-2.8558629572267478</v>
      </c>
      <c r="I18" s="3">
        <v>34.795394596939381</v>
      </c>
    </row>
    <row r="19" spans="1:9" x14ac:dyDescent="0.25">
      <c r="A19" s="3" t="s">
        <v>56</v>
      </c>
      <c r="B19" s="3">
        <v>-9.3901189457893261E-2</v>
      </c>
      <c r="C19" s="3">
        <v>0.10434413434551223</v>
      </c>
      <c r="D19" s="3">
        <v>-0.89991823734873777</v>
      </c>
      <c r="E19" s="3">
        <v>0.38744066373885178</v>
      </c>
      <c r="F19" s="3">
        <v>-0.32356108069497391</v>
      </c>
      <c r="G19" s="3">
        <v>0.13575870177918742</v>
      </c>
      <c r="H19" s="3">
        <v>-0.32356108069497391</v>
      </c>
      <c r="I19" s="3">
        <v>0.13575870177918742</v>
      </c>
    </row>
    <row r="20" spans="1:9" x14ac:dyDescent="0.25">
      <c r="A20" s="3" t="s">
        <v>0</v>
      </c>
      <c r="B20" s="3">
        <v>-6.2409535842122069E-3</v>
      </c>
      <c r="C20" s="3">
        <v>3.3703081757867725E-3</v>
      </c>
      <c r="D20" s="3">
        <v>-1.8517456738968103</v>
      </c>
      <c r="E20" s="3">
        <v>9.1070056915986658E-2</v>
      </c>
      <c r="F20" s="3">
        <v>-1.3658951864054414E-2</v>
      </c>
      <c r="G20" s="3">
        <v>1.1770446956300001E-3</v>
      </c>
      <c r="H20" s="3">
        <v>-1.3658951864054414E-2</v>
      </c>
      <c r="I20" s="3">
        <v>1.1770446956300001E-3</v>
      </c>
    </row>
    <row r="21" spans="1:9" x14ac:dyDescent="0.25">
      <c r="A21" s="3" t="s">
        <v>3</v>
      </c>
      <c r="B21" s="3">
        <v>3.9377612924278128E-4</v>
      </c>
      <c r="C21" s="3">
        <v>4.871809476388946E-3</v>
      </c>
      <c r="D21" s="3">
        <v>8.0827489488495705E-2</v>
      </c>
      <c r="E21" s="3">
        <v>0.93703100623551305</v>
      </c>
      <c r="F21" s="3">
        <v>-1.0329004231083103E-2</v>
      </c>
      <c r="G21" s="3">
        <v>1.1116556489568667E-2</v>
      </c>
      <c r="H21" s="3">
        <v>-1.0329004231083103E-2</v>
      </c>
      <c r="I21" s="3">
        <v>1.1116556489568667E-2</v>
      </c>
    </row>
    <row r="22" spans="1:9" x14ac:dyDescent="0.25">
      <c r="A22" s="3" t="s">
        <v>4</v>
      </c>
      <c r="B22" s="3">
        <v>3.9509403476295903E-4</v>
      </c>
      <c r="C22" s="3">
        <v>6.3588031069504369E-3</v>
      </c>
      <c r="D22" s="3">
        <v>6.2133396508393973E-2</v>
      </c>
      <c r="E22" s="3">
        <v>0.95157121550973944</v>
      </c>
      <c r="F22" s="3">
        <v>-1.3600537239579557E-2</v>
      </c>
      <c r="G22" s="3">
        <v>1.4390725309105474E-2</v>
      </c>
      <c r="H22" s="3">
        <v>-1.3600537239579557E-2</v>
      </c>
      <c r="I22" s="3">
        <v>1.4390725309105474E-2</v>
      </c>
    </row>
    <row r="23" spans="1:9" x14ac:dyDescent="0.25">
      <c r="A23" s="3" t="s">
        <v>5</v>
      </c>
      <c r="B23" s="3">
        <v>5.1684277128936943E-3</v>
      </c>
      <c r="C23" s="3">
        <v>3.8518242378511509E-3</v>
      </c>
      <c r="D23" s="3">
        <v>1.3418129680229252</v>
      </c>
      <c r="E23" s="3">
        <v>0.20669844397492418</v>
      </c>
      <c r="F23" s="3">
        <v>-3.3093802738979735E-3</v>
      </c>
      <c r="G23" s="3">
        <v>1.3646235699685361E-2</v>
      </c>
      <c r="H23" s="3">
        <v>-3.3093802738979735E-3</v>
      </c>
      <c r="I23" s="3">
        <v>1.3646235699685361E-2</v>
      </c>
    </row>
    <row r="24" spans="1:9" x14ac:dyDescent="0.25">
      <c r="A24" s="3" t="s">
        <v>57</v>
      </c>
      <c r="B24" s="3">
        <v>9.3804452985775697</v>
      </c>
      <c r="C24" s="3">
        <v>5.1764851510255641</v>
      </c>
      <c r="D24" s="3">
        <v>1.8121263801402228</v>
      </c>
      <c r="E24" s="3">
        <v>9.7324680564012417E-2</v>
      </c>
      <c r="F24" s="3">
        <v>-2.0129217002644193</v>
      </c>
      <c r="G24" s="3">
        <v>20.77381229741956</v>
      </c>
      <c r="H24" s="3">
        <v>-2.0129217002644193</v>
      </c>
      <c r="I24" s="3">
        <v>20.77381229741956</v>
      </c>
    </row>
    <row r="25" spans="1:9" ht="15.75" thickBot="1" x14ac:dyDescent="0.3">
      <c r="A25" s="4" t="s">
        <v>62</v>
      </c>
      <c r="B25" s="4">
        <v>-4.239420032396865E-2</v>
      </c>
      <c r="C25" s="4">
        <v>6.2038513869637518E-2</v>
      </c>
      <c r="D25" s="4">
        <v>-0.68335293158459975</v>
      </c>
      <c r="E25" s="4">
        <v>0.50852180379568379</v>
      </c>
      <c r="F25" s="4">
        <v>-0.1789400487051801</v>
      </c>
      <c r="G25" s="4">
        <v>9.4151648057242798E-2</v>
      </c>
      <c r="H25" s="4">
        <v>-0.1789400487051801</v>
      </c>
      <c r="I25" s="4">
        <v>9.4151648057242798E-2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23" sqref="E23"/>
    </sheetView>
  </sheetViews>
  <sheetFormatPr defaultRowHeight="15" x14ac:dyDescent="0.25"/>
  <cols>
    <col min="1" max="1" width="16.5703125" bestFit="1" customWidth="1"/>
    <col min="2" max="2" width="12.28515625" bestFit="1" customWidth="1"/>
    <col min="3" max="3" width="13.140625" bestFit="1" customWidth="1"/>
    <col min="4" max="4" width="12.28515625" bestFit="1" customWidth="1"/>
    <col min="5" max="5" width="11.7109375" bestFit="1" customWidth="1"/>
    <col min="6" max="9" width="12.28515625" bestFit="1" customWidth="1"/>
  </cols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0.99910170176329538</v>
      </c>
    </row>
    <row r="5" spans="1:9" x14ac:dyDescent="0.25">
      <c r="A5" s="3" t="s">
        <v>33</v>
      </c>
      <c r="B5" s="3">
        <v>0.9982042104663128</v>
      </c>
    </row>
    <row r="6" spans="1:9" x14ac:dyDescent="0.25">
      <c r="A6" s="3" t="s">
        <v>34</v>
      </c>
      <c r="B6" s="3">
        <v>0.99735913303869528</v>
      </c>
    </row>
    <row r="7" spans="1:9" x14ac:dyDescent="0.25">
      <c r="A7" s="3" t="s">
        <v>35</v>
      </c>
      <c r="B7" s="3">
        <v>11.9809080695416</v>
      </c>
    </row>
    <row r="8" spans="1:9" ht="15.75" thickBot="1" x14ac:dyDescent="0.3">
      <c r="A8" s="4" t="s">
        <v>36</v>
      </c>
      <c r="B8" s="4">
        <v>26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8</v>
      </c>
      <c r="C12" s="3">
        <v>1356414.2833110963</v>
      </c>
      <c r="D12" s="3">
        <v>169551.78541388703</v>
      </c>
      <c r="E12" s="3">
        <v>1181.198524353591</v>
      </c>
      <c r="F12" s="3">
        <v>8.7203845180876056E-22</v>
      </c>
    </row>
    <row r="13" spans="1:9" x14ac:dyDescent="0.25">
      <c r="A13" s="3" t="s">
        <v>39</v>
      </c>
      <c r="B13" s="3">
        <v>17</v>
      </c>
      <c r="C13" s="3">
        <v>2440.2166889037198</v>
      </c>
      <c r="D13" s="3">
        <v>143.54215817080706</v>
      </c>
      <c r="E13" s="3"/>
      <c r="F13" s="3"/>
    </row>
    <row r="14" spans="1:9" ht="15.75" thickBot="1" x14ac:dyDescent="0.3">
      <c r="A14" s="4" t="s">
        <v>40</v>
      </c>
      <c r="B14" s="4">
        <v>25</v>
      </c>
      <c r="C14" s="4">
        <v>1358854.5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-14.492995931210984</v>
      </c>
      <c r="C17" s="3">
        <v>11.530968253517511</v>
      </c>
      <c r="D17" s="3">
        <v>-1.2568758852310524</v>
      </c>
      <c r="E17" s="3">
        <v>0.22579416053253848</v>
      </c>
      <c r="F17" s="3">
        <v>-38.821212379983663</v>
      </c>
      <c r="G17" s="3">
        <v>9.8352205175616945</v>
      </c>
      <c r="H17" s="3">
        <v>-38.821212379983663</v>
      </c>
      <c r="I17" s="3">
        <v>9.8352205175616945</v>
      </c>
    </row>
    <row r="18" spans="1:9" x14ac:dyDescent="0.25">
      <c r="A18" s="3" t="s">
        <v>1</v>
      </c>
      <c r="B18" s="3">
        <v>20.026196634982693</v>
      </c>
      <c r="C18" s="3">
        <v>5.8542875070493068</v>
      </c>
      <c r="D18" s="3">
        <v>3.420774365944379</v>
      </c>
      <c r="E18" s="3">
        <v>3.2579254368169455E-3</v>
      </c>
      <c r="F18" s="3">
        <v>7.6747296554950903</v>
      </c>
      <c r="G18" s="3">
        <v>32.377663614470293</v>
      </c>
      <c r="H18" s="3">
        <v>7.6747296554950903</v>
      </c>
      <c r="I18" s="3">
        <v>32.377663614470293</v>
      </c>
    </row>
    <row r="19" spans="1:9" x14ac:dyDescent="0.25">
      <c r="A19" s="3" t="s">
        <v>56</v>
      </c>
      <c r="B19" s="3">
        <v>6.3728247912074806E-2</v>
      </c>
      <c r="C19" s="3">
        <v>0.13037034805710451</v>
      </c>
      <c r="D19" s="3">
        <v>0.48882471253479132</v>
      </c>
      <c r="E19" s="3">
        <v>0.63121222023844248</v>
      </c>
      <c r="F19" s="3">
        <v>-0.21132914330635577</v>
      </c>
      <c r="G19" s="3">
        <v>0.33878563913050541</v>
      </c>
      <c r="H19" s="3">
        <v>-0.21132914330635577</v>
      </c>
      <c r="I19" s="3">
        <v>0.33878563913050541</v>
      </c>
    </row>
    <row r="20" spans="1:9" x14ac:dyDescent="0.25">
      <c r="A20" s="3" t="s">
        <v>0</v>
      </c>
      <c r="B20" s="3">
        <v>-2.9354038810027513E-3</v>
      </c>
      <c r="C20" s="3">
        <v>1.2654938422278379E-3</v>
      </c>
      <c r="D20" s="3">
        <v>-2.319571840693528</v>
      </c>
      <c r="E20" s="3">
        <v>3.3067692265445967E-2</v>
      </c>
      <c r="F20" s="3">
        <v>-5.6053625029871823E-3</v>
      </c>
      <c r="G20" s="3">
        <v>-2.6544525901832068E-4</v>
      </c>
      <c r="H20" s="3">
        <v>-5.6053625029871823E-3</v>
      </c>
      <c r="I20" s="3">
        <v>-2.6544525901832068E-4</v>
      </c>
    </row>
    <row r="21" spans="1:9" x14ac:dyDescent="0.25">
      <c r="A21" s="3" t="s">
        <v>3</v>
      </c>
      <c r="B21" s="3">
        <v>-1.2281397482933971E-3</v>
      </c>
      <c r="C21" s="3">
        <v>1.7566444046272294E-3</v>
      </c>
      <c r="D21" s="3">
        <v>-0.69913964662302608</v>
      </c>
      <c r="E21" s="3">
        <v>0.4939201623567786</v>
      </c>
      <c r="F21" s="3">
        <v>-4.9343354778896582E-3</v>
      </c>
      <c r="G21" s="3">
        <v>2.4780559813028643E-3</v>
      </c>
      <c r="H21" s="3">
        <v>-4.9343354778896582E-3</v>
      </c>
      <c r="I21" s="3">
        <v>2.4780559813028643E-3</v>
      </c>
    </row>
    <row r="22" spans="1:9" x14ac:dyDescent="0.25">
      <c r="A22" s="3" t="s">
        <v>4</v>
      </c>
      <c r="B22" s="3">
        <v>1.5236853236319657E-3</v>
      </c>
      <c r="C22" s="3">
        <v>1.533339062473817E-3</v>
      </c>
      <c r="D22" s="3">
        <v>0.99370410688795963</v>
      </c>
      <c r="E22" s="3">
        <v>0.33430146971918206</v>
      </c>
      <c r="F22" s="3">
        <v>-1.711377316475627E-3</v>
      </c>
      <c r="G22" s="3">
        <v>4.7587479637395584E-3</v>
      </c>
      <c r="H22" s="3">
        <v>-1.711377316475627E-3</v>
      </c>
      <c r="I22" s="3">
        <v>4.7587479637395584E-3</v>
      </c>
    </row>
    <row r="23" spans="1:9" x14ac:dyDescent="0.25">
      <c r="A23" s="3" t="s">
        <v>5</v>
      </c>
      <c r="B23" s="3">
        <v>2.8958275548925032E-3</v>
      </c>
      <c r="C23" s="3">
        <v>2.2993052694659901E-3</v>
      </c>
      <c r="D23" s="3">
        <v>1.2594358797625225</v>
      </c>
      <c r="E23" s="3">
        <v>0.22489092040738395</v>
      </c>
      <c r="F23" s="3">
        <v>-1.9552825208210751E-3</v>
      </c>
      <c r="G23" s="3">
        <v>7.7469376306060819E-3</v>
      </c>
      <c r="H23" s="3">
        <v>-1.9552825208210751E-3</v>
      </c>
      <c r="I23" s="3">
        <v>7.7469376306060819E-3</v>
      </c>
    </row>
    <row r="24" spans="1:9" x14ac:dyDescent="0.25">
      <c r="A24" s="3" t="s">
        <v>57</v>
      </c>
      <c r="B24" s="3">
        <v>5.8869183056937153</v>
      </c>
      <c r="C24" s="3">
        <v>3.8501074675277072</v>
      </c>
      <c r="D24" s="3">
        <v>1.5290270090756499</v>
      </c>
      <c r="E24" s="3">
        <v>0.14465122547170431</v>
      </c>
      <c r="F24" s="3">
        <v>-2.2360984056286224</v>
      </c>
      <c r="G24" s="3">
        <v>14.009935017016053</v>
      </c>
      <c r="H24" s="3">
        <v>-2.2360984056286224</v>
      </c>
      <c r="I24" s="3">
        <v>14.009935017016053</v>
      </c>
    </row>
    <row r="25" spans="1:9" ht="15.75" thickBot="1" x14ac:dyDescent="0.3">
      <c r="A25" s="4" t="s">
        <v>62</v>
      </c>
      <c r="B25" s="4">
        <v>-3.9971001721098492E-2</v>
      </c>
      <c r="C25" s="4">
        <v>4.7059731819386427E-2</v>
      </c>
      <c r="D25" s="4">
        <v>-0.8493673927957297</v>
      </c>
      <c r="E25" s="4">
        <v>0.40747947048013022</v>
      </c>
      <c r="F25" s="4">
        <v>-0.13925835700229822</v>
      </c>
      <c r="G25" s="4">
        <v>5.9316353560101218E-2</v>
      </c>
      <c r="H25" s="4">
        <v>-0.13925835700229822</v>
      </c>
      <c r="I25" s="4">
        <v>5.9316353560101218E-2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7" sqref="B17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0.99895510315333569</v>
      </c>
    </row>
    <row r="5" spans="1:9" x14ac:dyDescent="0.25">
      <c r="A5" s="3" t="s">
        <v>33</v>
      </c>
      <c r="B5" s="3">
        <v>0.99791129811609158</v>
      </c>
    </row>
    <row r="6" spans="1:9" x14ac:dyDescent="0.25">
      <c r="A6" s="3" t="s">
        <v>34</v>
      </c>
      <c r="B6" s="3">
        <v>0.99692837958248759</v>
      </c>
    </row>
    <row r="7" spans="1:9" x14ac:dyDescent="0.25">
      <c r="A7" s="3" t="s">
        <v>35</v>
      </c>
      <c r="B7" s="3">
        <v>13.093712434505866</v>
      </c>
    </row>
    <row r="8" spans="1:9" ht="15.75" thickBot="1" x14ac:dyDescent="0.3">
      <c r="A8" s="4" t="s">
        <v>36</v>
      </c>
      <c r="B8" s="4">
        <v>26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8</v>
      </c>
      <c r="C12" s="3">
        <v>1392483.314424987</v>
      </c>
      <c r="D12" s="3">
        <v>174060.41430312337</v>
      </c>
      <c r="E12" s="3">
        <v>1015.2533134736258</v>
      </c>
      <c r="F12" s="3">
        <v>3.1475474472233712E-21</v>
      </c>
    </row>
    <row r="13" spans="1:9" x14ac:dyDescent="0.25">
      <c r="A13" s="3" t="s">
        <v>39</v>
      </c>
      <c r="B13" s="3">
        <v>17</v>
      </c>
      <c r="C13" s="3">
        <v>2914.5701903980703</v>
      </c>
      <c r="D13" s="3">
        <v>171.44530531753355</v>
      </c>
      <c r="E13" s="3"/>
      <c r="F13" s="3"/>
    </row>
    <row r="14" spans="1:9" ht="15.75" thickBot="1" x14ac:dyDescent="0.3">
      <c r="A14" s="4" t="s">
        <v>40</v>
      </c>
      <c r="B14" s="4">
        <v>25</v>
      </c>
      <c r="C14" s="4">
        <v>1395397.884615385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10" x14ac:dyDescent="0.25">
      <c r="A17" s="3" t="s">
        <v>41</v>
      </c>
      <c r="B17" s="3">
        <v>2.314095415908838</v>
      </c>
      <c r="C17" s="3">
        <v>19.189186754556722</v>
      </c>
      <c r="D17" s="3">
        <v>0.12059372007306803</v>
      </c>
      <c r="E17" s="3">
        <v>0.9054266875512027</v>
      </c>
      <c r="F17" s="3">
        <v>-38.171549724807683</v>
      </c>
      <c r="G17" s="3">
        <v>42.799740556625359</v>
      </c>
      <c r="H17" s="3">
        <v>-38.171549724807683</v>
      </c>
      <c r="I17" s="3">
        <v>42.799740556625359</v>
      </c>
      <c r="J17" s="3"/>
    </row>
    <row r="18" spans="1:10" x14ac:dyDescent="0.25">
      <c r="A18" s="3" t="s">
        <v>1</v>
      </c>
      <c r="B18" s="3">
        <v>20.139172624768783</v>
      </c>
      <c r="C18" s="3">
        <v>5.4859799221820733</v>
      </c>
      <c r="D18" s="3">
        <v>3.6710255798308382</v>
      </c>
      <c r="E18" s="3">
        <v>1.8932750379649342E-3</v>
      </c>
      <c r="F18" s="3">
        <v>8.5647667252682371</v>
      </c>
      <c r="G18" s="3">
        <v>31.71357852426933</v>
      </c>
      <c r="H18" s="3">
        <v>8.5647667252682371</v>
      </c>
      <c r="I18" s="3">
        <v>31.71357852426933</v>
      </c>
      <c r="J18" s="3"/>
    </row>
    <row r="19" spans="1:10" x14ac:dyDescent="0.25">
      <c r="A19" s="3" t="s">
        <v>56</v>
      </c>
      <c r="B19" s="3">
        <v>0.10440947568145606</v>
      </c>
      <c r="C19" s="3">
        <v>0.12469588007437003</v>
      </c>
      <c r="D19" s="3">
        <v>0.83731295387774696</v>
      </c>
      <c r="E19" s="3">
        <v>0.41403347791134426</v>
      </c>
      <c r="F19" s="3">
        <v>-0.15867583459108495</v>
      </c>
      <c r="G19" s="3">
        <v>0.36749478595399709</v>
      </c>
      <c r="H19" s="3">
        <v>-0.15867583459108495</v>
      </c>
      <c r="I19" s="3">
        <v>0.36749478595399709</v>
      </c>
      <c r="J19" s="3"/>
    </row>
    <row r="20" spans="1:10" x14ac:dyDescent="0.25">
      <c r="A20" s="3" t="s">
        <v>0</v>
      </c>
      <c r="B20" s="3">
        <v>-4.6431290308667408E-3</v>
      </c>
      <c r="C20" s="3">
        <v>3.0764322502949784E-3</v>
      </c>
      <c r="D20" s="3">
        <v>-1.509257689787104</v>
      </c>
      <c r="E20" s="3">
        <v>0.14959438263181143</v>
      </c>
      <c r="F20" s="3">
        <v>-1.1133833716687892E-2</v>
      </c>
      <c r="G20" s="3">
        <v>1.8475756549544108E-3</v>
      </c>
      <c r="H20" s="3">
        <v>-1.1133833716687892E-2</v>
      </c>
      <c r="I20" s="3">
        <v>1.8475756549544108E-3</v>
      </c>
      <c r="J20" s="3"/>
    </row>
    <row r="21" spans="1:10" x14ac:dyDescent="0.25">
      <c r="A21" s="3" t="s">
        <v>3</v>
      </c>
      <c r="B21" s="3">
        <v>-8.3335927486551825E-4</v>
      </c>
      <c r="C21" s="3">
        <v>1.6862576940732475E-3</v>
      </c>
      <c r="D21" s="3">
        <v>-0.49420635872829938</v>
      </c>
      <c r="E21" s="3">
        <v>0.62748558550402145</v>
      </c>
      <c r="F21" s="3">
        <v>-4.3910520260625431E-3</v>
      </c>
      <c r="G21" s="3">
        <v>2.724333476331507E-3</v>
      </c>
      <c r="H21" s="3">
        <v>-4.3910520260625431E-3</v>
      </c>
      <c r="I21" s="3">
        <v>2.724333476331507E-3</v>
      </c>
      <c r="J21" s="3"/>
    </row>
    <row r="22" spans="1:10" x14ac:dyDescent="0.25">
      <c r="A22" s="3" t="s">
        <v>4</v>
      </c>
      <c r="B22" s="3">
        <v>7.1713199413789275E-4</v>
      </c>
      <c r="C22" s="3">
        <v>2.0620232419096885E-3</v>
      </c>
      <c r="D22" s="3">
        <v>0.34778075220613897</v>
      </c>
      <c r="E22" s="3">
        <v>0.73227377971309393</v>
      </c>
      <c r="F22" s="3">
        <v>-3.6333567634975264E-3</v>
      </c>
      <c r="G22" s="3">
        <v>5.0676207517733121E-3</v>
      </c>
      <c r="H22" s="3">
        <v>-3.6333567634975264E-3</v>
      </c>
      <c r="I22" s="3">
        <v>5.0676207517733121E-3</v>
      </c>
      <c r="J22" s="3"/>
    </row>
    <row r="23" spans="1:10" x14ac:dyDescent="0.25">
      <c r="A23" s="3" t="s">
        <v>5</v>
      </c>
      <c r="B23" s="3">
        <v>4.3810218018117157E-3</v>
      </c>
      <c r="C23" s="3">
        <v>3.3426824129411158E-3</v>
      </c>
      <c r="D23" s="3">
        <v>1.3106305836446484</v>
      </c>
      <c r="E23" s="3">
        <v>0.20741365458741995</v>
      </c>
      <c r="F23" s="3">
        <v>-2.6714216247609108E-3</v>
      </c>
      <c r="G23" s="3">
        <v>1.1433465228384343E-2</v>
      </c>
      <c r="H23" s="3">
        <v>-2.6714216247609108E-3</v>
      </c>
      <c r="I23" s="3">
        <v>1.1433465228384343E-2</v>
      </c>
      <c r="J23" s="3"/>
    </row>
    <row r="24" spans="1:10" x14ac:dyDescent="0.25">
      <c r="A24" s="3" t="s">
        <v>57</v>
      </c>
      <c r="B24" s="3">
        <v>5.161228591937153</v>
      </c>
      <c r="C24" s="3">
        <v>3.9031327598330812</v>
      </c>
      <c r="D24" s="3">
        <v>1.322329756510223</v>
      </c>
      <c r="E24" s="3">
        <v>0.20357425356614747</v>
      </c>
      <c r="F24" s="3">
        <v>-3.0736617071102277</v>
      </c>
      <c r="G24" s="3">
        <v>13.396118890984534</v>
      </c>
      <c r="H24" s="3">
        <v>-3.0736617071102277</v>
      </c>
      <c r="I24" s="3">
        <v>13.396118890984534</v>
      </c>
      <c r="J24" s="3"/>
    </row>
    <row r="25" spans="1:10" ht="15.75" thickBot="1" x14ac:dyDescent="0.3">
      <c r="A25" s="4" t="s">
        <v>62</v>
      </c>
      <c r="B25" s="4">
        <v>-5.1284035661434128E-2</v>
      </c>
      <c r="C25" s="4">
        <v>6.2059149918927498E-2</v>
      </c>
      <c r="D25" s="4">
        <v>-0.82637347963080854</v>
      </c>
      <c r="E25" s="4">
        <v>0.42003980634885008</v>
      </c>
      <c r="F25" s="4">
        <v>-0.18221739690748059</v>
      </c>
      <c r="G25" s="4">
        <v>7.9649325584612324E-2</v>
      </c>
      <c r="H25" s="4">
        <v>-0.18221739690748059</v>
      </c>
      <c r="I25" s="4">
        <v>7.9649325584612324E-2</v>
      </c>
      <c r="J25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I28"/>
    </sheetView>
  </sheetViews>
  <sheetFormatPr defaultRowHeight="15" x14ac:dyDescent="0.25"/>
  <sheetData>
    <row r="1" spans="1:9" x14ac:dyDescent="0.25">
      <c r="A1" t="s">
        <v>30</v>
      </c>
    </row>
    <row r="2" spans="1:9" ht="15.75" thickBot="1" x14ac:dyDescent="0.3"/>
    <row r="3" spans="1:9" x14ac:dyDescent="0.25">
      <c r="A3" s="6" t="s">
        <v>31</v>
      </c>
      <c r="B3" s="6"/>
    </row>
    <row r="4" spans="1:9" x14ac:dyDescent="0.25">
      <c r="A4" s="3" t="s">
        <v>32</v>
      </c>
      <c r="B4" s="3">
        <v>0.9991317655843106</v>
      </c>
    </row>
    <row r="5" spans="1:9" x14ac:dyDescent="0.25">
      <c r="A5" s="3" t="s">
        <v>33</v>
      </c>
      <c r="B5" s="3">
        <v>0.99826428499962172</v>
      </c>
    </row>
    <row r="6" spans="1:9" x14ac:dyDescent="0.25">
      <c r="A6" s="3" t="s">
        <v>34</v>
      </c>
      <c r="B6" s="3">
        <v>0.99797499916622534</v>
      </c>
    </row>
    <row r="7" spans="1:9" x14ac:dyDescent="0.25">
      <c r="A7" s="3" t="s">
        <v>35</v>
      </c>
      <c r="B7" s="3">
        <v>20.938004789324044</v>
      </c>
    </row>
    <row r="8" spans="1:9" ht="15.75" thickBot="1" x14ac:dyDescent="0.3">
      <c r="A8" s="4" t="s">
        <v>36</v>
      </c>
      <c r="B8" s="4">
        <v>57</v>
      </c>
    </row>
    <row r="10" spans="1:9" ht="15.75" thickBot="1" x14ac:dyDescent="0.3">
      <c r="A10" t="s">
        <v>37</v>
      </c>
    </row>
    <row r="11" spans="1:9" x14ac:dyDescent="0.25">
      <c r="A11" s="5"/>
      <c r="B11" s="5" t="s">
        <v>42</v>
      </c>
      <c r="C11" s="5" t="s">
        <v>43</v>
      </c>
      <c r="D11" s="5" t="s">
        <v>44</v>
      </c>
      <c r="E11" s="5" t="s">
        <v>45</v>
      </c>
      <c r="F11" s="5" t="s">
        <v>46</v>
      </c>
    </row>
    <row r="12" spans="1:9" x14ac:dyDescent="0.25">
      <c r="A12" s="3" t="s">
        <v>38</v>
      </c>
      <c r="B12" s="3">
        <v>8</v>
      </c>
      <c r="C12" s="3">
        <v>12102607.359264739</v>
      </c>
      <c r="D12" s="3">
        <v>1512825.9199080924</v>
      </c>
      <c r="E12" s="3">
        <v>3450.7887001566814</v>
      </c>
      <c r="F12" s="3">
        <v>1.6271780988871299E-63</v>
      </c>
    </row>
    <row r="13" spans="1:9" x14ac:dyDescent="0.25">
      <c r="A13" s="3" t="s">
        <v>39</v>
      </c>
      <c r="B13" s="3">
        <v>48</v>
      </c>
      <c r="C13" s="3">
        <v>21043.202138772318</v>
      </c>
      <c r="D13" s="3">
        <v>438.40004455775664</v>
      </c>
      <c r="E13" s="3"/>
      <c r="F13" s="3"/>
    </row>
    <row r="14" spans="1:9" ht="15.75" thickBot="1" x14ac:dyDescent="0.3">
      <c r="A14" s="4" t="s">
        <v>40</v>
      </c>
      <c r="B14" s="4">
        <v>56</v>
      </c>
      <c r="C14" s="4">
        <v>12123650.561403511</v>
      </c>
      <c r="D14" s="4"/>
      <c r="E14" s="4"/>
      <c r="F14" s="4"/>
    </row>
    <row r="15" spans="1:9" ht="15.75" thickBot="1" x14ac:dyDescent="0.3"/>
    <row r="16" spans="1:9" x14ac:dyDescent="0.25">
      <c r="A16" s="5"/>
      <c r="B16" s="5" t="s">
        <v>47</v>
      </c>
      <c r="C16" s="5" t="s">
        <v>35</v>
      </c>
      <c r="D16" s="5" t="s">
        <v>48</v>
      </c>
      <c r="E16" s="5" t="s">
        <v>49</v>
      </c>
      <c r="F16" s="5" t="s">
        <v>50</v>
      </c>
      <c r="G16" s="5" t="s">
        <v>51</v>
      </c>
      <c r="H16" s="5" t="s">
        <v>52</v>
      </c>
      <c r="I16" s="5" t="s">
        <v>53</v>
      </c>
    </row>
    <row r="17" spans="1:9" x14ac:dyDescent="0.25">
      <c r="A17" s="3" t="s">
        <v>41</v>
      </c>
      <c r="B17" s="3">
        <v>0.58457732051056155</v>
      </c>
      <c r="C17" s="3">
        <v>17.659983089321926</v>
      </c>
      <c r="D17" s="3">
        <v>3.3101805225624767E-2</v>
      </c>
      <c r="E17" s="3">
        <v>0.97373066999993285</v>
      </c>
      <c r="F17" s="3">
        <v>-34.923198497936255</v>
      </c>
      <c r="G17" s="3">
        <v>36.092353138957378</v>
      </c>
      <c r="H17" s="3">
        <v>-34.923198497936255</v>
      </c>
      <c r="I17" s="3">
        <v>36.092353138957378</v>
      </c>
    </row>
    <row r="18" spans="1:9" x14ac:dyDescent="0.25">
      <c r="A18" s="3" t="s">
        <v>1</v>
      </c>
      <c r="B18" s="3">
        <v>18.794038612997092</v>
      </c>
      <c r="C18" s="3">
        <v>5.5331833581129057</v>
      </c>
      <c r="D18" s="3">
        <v>3.3966050637813683</v>
      </c>
      <c r="E18" s="3">
        <v>1.3789069600968473E-3</v>
      </c>
      <c r="F18" s="3">
        <v>7.6688278328673185</v>
      </c>
      <c r="G18" s="3">
        <v>29.919249393126865</v>
      </c>
      <c r="H18" s="3">
        <v>7.6688278328673185</v>
      </c>
      <c r="I18" s="3">
        <v>29.919249393126865</v>
      </c>
    </row>
    <row r="19" spans="1:9" x14ac:dyDescent="0.25">
      <c r="A19" s="3" t="s">
        <v>56</v>
      </c>
      <c r="B19" s="3">
        <v>-8.687674784839701E-2</v>
      </c>
      <c r="C19" s="3">
        <v>0.14927800571090979</v>
      </c>
      <c r="D19" s="3">
        <v>-0.58197955843971816</v>
      </c>
      <c r="E19" s="3">
        <v>0.56330404520323452</v>
      </c>
      <c r="F19" s="3">
        <v>-0.38702029467958071</v>
      </c>
      <c r="G19" s="3">
        <v>0.21326679898278672</v>
      </c>
      <c r="H19" s="3">
        <v>-0.38702029467958071</v>
      </c>
      <c r="I19" s="3">
        <v>0.21326679898278672</v>
      </c>
    </row>
    <row r="20" spans="1:9" x14ac:dyDescent="0.25">
      <c r="A20" s="3" t="s">
        <v>0</v>
      </c>
      <c r="B20" s="3">
        <v>-3.8568739459094994E-3</v>
      </c>
      <c r="C20" s="3">
        <v>7.103012913619659E-4</v>
      </c>
      <c r="D20" s="3">
        <v>-5.4299126199167445</v>
      </c>
      <c r="E20" s="3">
        <v>1.8382318929108324E-6</v>
      </c>
      <c r="F20" s="3">
        <v>-5.2850304107072438E-3</v>
      </c>
      <c r="G20" s="3">
        <v>-2.4287174811117545E-3</v>
      </c>
      <c r="H20" s="3">
        <v>-5.2850304107072438E-3</v>
      </c>
      <c r="I20" s="3">
        <v>-2.4287174811117545E-3</v>
      </c>
    </row>
    <row r="21" spans="1:9" x14ac:dyDescent="0.25">
      <c r="A21" s="3" t="s">
        <v>3</v>
      </c>
      <c r="B21" s="3">
        <v>-1.4081935110757109E-3</v>
      </c>
      <c r="C21" s="3">
        <v>1.0919942205081404E-3</v>
      </c>
      <c r="D21" s="3">
        <v>-1.2895613224220479</v>
      </c>
      <c r="E21" s="3">
        <v>0.20338224394589635</v>
      </c>
      <c r="F21" s="3">
        <v>-3.6037950459541571E-3</v>
      </c>
      <c r="G21" s="3">
        <v>7.8740802380273547E-4</v>
      </c>
      <c r="H21" s="3">
        <v>-3.6037950459541571E-3</v>
      </c>
      <c r="I21" s="3">
        <v>7.8740802380273547E-4</v>
      </c>
    </row>
    <row r="22" spans="1:9" x14ac:dyDescent="0.25">
      <c r="A22" s="3" t="s">
        <v>4</v>
      </c>
      <c r="B22" s="3">
        <v>6.7659850903651329E-4</v>
      </c>
      <c r="C22" s="3">
        <v>4.0086412018695193E-4</v>
      </c>
      <c r="D22" s="3">
        <v>1.687850009427051</v>
      </c>
      <c r="E22" s="3">
        <v>9.7928348003312293E-2</v>
      </c>
      <c r="F22" s="3">
        <v>-1.2939282409582954E-4</v>
      </c>
      <c r="G22" s="3">
        <v>1.4825898421688562E-3</v>
      </c>
      <c r="H22" s="3">
        <v>-1.2939282409582954E-4</v>
      </c>
      <c r="I22" s="3">
        <v>1.4825898421688562E-3</v>
      </c>
    </row>
    <row r="23" spans="1:9" x14ac:dyDescent="0.25">
      <c r="A23" s="3" t="s">
        <v>5</v>
      </c>
      <c r="B23" s="3">
        <v>4.3253674788988521E-3</v>
      </c>
      <c r="C23" s="3">
        <v>8.8033846536649495E-4</v>
      </c>
      <c r="D23" s="3">
        <v>4.9133005645710961</v>
      </c>
      <c r="E23" s="3">
        <v>1.0824057594844545E-5</v>
      </c>
      <c r="F23" s="3">
        <v>2.5553283619594016E-3</v>
      </c>
      <c r="G23" s="3">
        <v>6.0954065958383026E-3</v>
      </c>
      <c r="H23" s="3">
        <v>2.5553283619594016E-3</v>
      </c>
      <c r="I23" s="3">
        <v>6.0954065958383026E-3</v>
      </c>
    </row>
    <row r="24" spans="1:9" x14ac:dyDescent="0.25">
      <c r="A24" s="3" t="s">
        <v>57</v>
      </c>
      <c r="B24" s="3">
        <v>6.1967735429183222</v>
      </c>
      <c r="C24" s="3">
        <v>2.978564824046511</v>
      </c>
      <c r="D24" s="3">
        <v>2.080456162273391</v>
      </c>
      <c r="E24" s="3">
        <v>4.2844907106957306E-2</v>
      </c>
      <c r="F24" s="3">
        <v>0.20796757985350389</v>
      </c>
      <c r="G24" s="3">
        <v>12.18557950598314</v>
      </c>
      <c r="H24" s="3">
        <v>0.20796757985350389</v>
      </c>
      <c r="I24" s="3">
        <v>12.18557950598314</v>
      </c>
    </row>
    <row r="25" spans="1:9" ht="15.75" thickBot="1" x14ac:dyDescent="0.3">
      <c r="A25" s="4" t="s">
        <v>62</v>
      </c>
      <c r="B25" s="4">
        <v>4.4589637601754606E-2</v>
      </c>
      <c r="C25" s="4">
        <v>4.0119039311559107E-2</v>
      </c>
      <c r="D25" s="4">
        <v>1.1114333335720585</v>
      </c>
      <c r="E25" s="4">
        <v>0.27191803834446687</v>
      </c>
      <c r="F25" s="4">
        <v>-3.6075097280559049E-2</v>
      </c>
      <c r="G25" s="4">
        <v>0.12525437248406826</v>
      </c>
      <c r="H25" s="4">
        <v>-3.6075097280559049E-2</v>
      </c>
      <c r="I25" s="4">
        <v>0.12525437248406826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2"/>
  <sheetViews>
    <sheetView tabSelected="1" zoomScale="96" zoomScaleNormal="96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Y11" sqref="Y11:Y19"/>
    </sheetView>
  </sheetViews>
  <sheetFormatPr defaultRowHeight="15" x14ac:dyDescent="0.25"/>
  <cols>
    <col min="1" max="1" width="9.140625" style="2"/>
    <col min="2" max="2" width="11.7109375" style="1" customWidth="1"/>
    <col min="3" max="3" width="9.140625" style="1"/>
    <col min="4" max="11" width="14.140625" style="1" customWidth="1"/>
    <col min="12" max="12" width="16.5703125" style="1" bestFit="1" customWidth="1"/>
    <col min="13" max="13" width="14.140625" style="1" customWidth="1"/>
    <col min="14" max="14" width="2.5703125" customWidth="1"/>
    <col min="15" max="25" width="14.140625" style="1" customWidth="1"/>
  </cols>
  <sheetData>
    <row r="1" spans="1:28" ht="15.75" thickBot="1" x14ac:dyDescent="0.3">
      <c r="A1" s="20"/>
      <c r="B1" s="21"/>
      <c r="C1" s="53"/>
      <c r="D1" s="55"/>
      <c r="E1" s="55"/>
      <c r="F1" s="55"/>
      <c r="G1" s="55"/>
      <c r="H1" s="55"/>
      <c r="I1" s="56"/>
      <c r="J1" s="22"/>
      <c r="K1" s="22"/>
      <c r="L1" s="22"/>
      <c r="M1" s="22"/>
      <c r="N1" s="13"/>
      <c r="O1" s="57" t="s">
        <v>58</v>
      </c>
      <c r="P1" s="58"/>
      <c r="Q1" s="58"/>
      <c r="R1" s="58"/>
      <c r="S1" s="58"/>
      <c r="T1" s="58"/>
      <c r="U1" s="58"/>
      <c r="V1" s="58"/>
      <c r="W1" s="58"/>
      <c r="X1" s="58"/>
      <c r="Y1" s="12"/>
    </row>
    <row r="2" spans="1:28" s="19" customFormat="1" ht="60" x14ac:dyDescent="0.25">
      <c r="A2" s="16" t="s">
        <v>2</v>
      </c>
      <c r="B2" s="17" t="s">
        <v>6</v>
      </c>
      <c r="C2" s="17" t="s">
        <v>1</v>
      </c>
      <c r="D2" s="17" t="str">
        <f>P2</f>
        <v>Called CSR</v>
      </c>
      <c r="E2" s="17" t="str">
        <f t="shared" ref="E2" si="0">Q2</f>
        <v>Meters Deployed</v>
      </c>
      <c r="F2" s="17" t="str">
        <f>R2</f>
        <v>90 Day Notification</v>
      </c>
      <c r="G2" s="17" t="str">
        <f>S2</f>
        <v>60 Day Notification</v>
      </c>
      <c r="H2" s="17" t="str">
        <f>T2</f>
        <v>21 Day Notification</v>
      </c>
      <c r="I2" s="17" t="str">
        <f>U2</f>
        <v>Known Outreach</v>
      </c>
      <c r="J2" s="17" t="str">
        <f>V2</f>
        <v>OptOut Page Views</v>
      </c>
      <c r="K2" s="17" t="s">
        <v>54</v>
      </c>
      <c r="L2" s="59" t="s">
        <v>59</v>
      </c>
      <c r="M2" s="60"/>
      <c r="N2" s="18"/>
      <c r="O2" s="17" t="s">
        <v>55</v>
      </c>
      <c r="P2" s="17" t="s">
        <v>56</v>
      </c>
      <c r="Q2" s="17" t="s">
        <v>0</v>
      </c>
      <c r="R2" s="17" t="s">
        <v>3</v>
      </c>
      <c r="S2" s="17" t="s">
        <v>4</v>
      </c>
      <c r="T2" s="17" t="s">
        <v>5</v>
      </c>
      <c r="U2" s="17" t="s">
        <v>57</v>
      </c>
      <c r="V2" s="17" t="s">
        <v>62</v>
      </c>
      <c r="W2" s="17" t="s">
        <v>54</v>
      </c>
      <c r="X2" s="61" t="s">
        <v>59</v>
      </c>
      <c r="Y2" s="62"/>
    </row>
    <row r="3" spans="1:28" ht="15.75" x14ac:dyDescent="0.25">
      <c r="A3" s="2">
        <v>43472</v>
      </c>
      <c r="B3" s="1">
        <v>17</v>
      </c>
      <c r="C3" s="1">
        <v>1</v>
      </c>
      <c r="D3" s="1">
        <f>P3</f>
        <v>7</v>
      </c>
      <c r="E3" s="10">
        <v>3658</v>
      </c>
      <c r="F3" s="10">
        <v>14129</v>
      </c>
      <c r="G3" s="10">
        <v>6332</v>
      </c>
      <c r="H3" s="10">
        <v>5246</v>
      </c>
      <c r="I3" s="1">
        <f>U3</f>
        <v>0</v>
      </c>
      <c r="J3" s="1">
        <f>V3</f>
        <v>25</v>
      </c>
      <c r="K3" s="9">
        <f>$M$3+$M$4*C3+$M$5*D3+$M$6*E3+$M$7*F3+$M$8*G3+$M$9*H3+$M$10*I3+$M$11*J3</f>
        <v>12.85550818000965</v>
      </c>
      <c r="L3" s="3" t="s">
        <v>41</v>
      </c>
      <c r="M3" s="3">
        <v>0.58457732051056155</v>
      </c>
      <c r="N3" s="14"/>
      <c r="O3" s="1">
        <f>B3</f>
        <v>17</v>
      </c>
      <c r="P3" s="11">
        <v>7</v>
      </c>
      <c r="Q3" s="1">
        <v>3658</v>
      </c>
      <c r="R3" s="1">
        <v>14129</v>
      </c>
      <c r="S3" s="1">
        <v>6332</v>
      </c>
      <c r="T3" s="1">
        <v>5245</v>
      </c>
      <c r="U3" s="1">
        <v>0</v>
      </c>
      <c r="V3" s="1">
        <v>25</v>
      </c>
      <c r="W3" s="9">
        <f t="shared" ref="W3:W34" si="1">$Y$3+$Y$4*P3+$Y$5*Q3+$Y$6*R3+$Y$7*S3+$Y$8*T3+$Y$9*U3</f>
        <v>120.67692224672781</v>
      </c>
      <c r="X3" s="3" t="s">
        <v>41</v>
      </c>
      <c r="Y3" s="3">
        <v>2.1897062431431511</v>
      </c>
      <c r="AB3" s="32">
        <v>25</v>
      </c>
    </row>
    <row r="4" spans="1:28" ht="15.75" x14ac:dyDescent="0.25">
      <c r="A4" s="2">
        <v>43479</v>
      </c>
      <c r="B4" s="1">
        <v>22</v>
      </c>
      <c r="C4" s="1">
        <v>2</v>
      </c>
      <c r="D4" s="1">
        <f t="shared" ref="D4:D67" si="2">P4</f>
        <v>15</v>
      </c>
      <c r="E4" s="10">
        <v>3659</v>
      </c>
      <c r="F4" s="10">
        <v>16702</v>
      </c>
      <c r="G4" s="10">
        <v>7626</v>
      </c>
      <c r="H4" s="10">
        <v>5245</v>
      </c>
      <c r="I4" s="1">
        <f>U4+I3</f>
        <v>0</v>
      </c>
      <c r="J4" s="1">
        <f>V4+J3</f>
        <v>54</v>
      </c>
      <c r="K4" s="9">
        <f t="shared" ref="K4:K59" si="3">$M$3+$M$4*C4+$M$5*D4+$M$6*E4+$M$7*F4+$M$8*G4+$M$9*H4+$M$10*I4+$M$11*J4</f>
        <v>29.491686625941089</v>
      </c>
      <c r="L4" s="3" t="s">
        <v>1</v>
      </c>
      <c r="M4" s="3">
        <v>18.794038612997092</v>
      </c>
      <c r="N4" s="14"/>
      <c r="O4" s="1">
        <f t="shared" ref="O4:O20" si="4">B4-B3</f>
        <v>5</v>
      </c>
      <c r="P4" s="11">
        <v>15</v>
      </c>
      <c r="Q4" s="1">
        <v>1</v>
      </c>
      <c r="R4" s="1">
        <v>2573</v>
      </c>
      <c r="S4" s="1">
        <v>1294</v>
      </c>
      <c r="T4" s="1">
        <v>0</v>
      </c>
      <c r="U4" s="1">
        <v>0</v>
      </c>
      <c r="V4" s="1">
        <v>29</v>
      </c>
      <c r="W4" s="9">
        <f t="shared" si="1"/>
        <v>15.033058847904368</v>
      </c>
      <c r="X4" s="3" t="s">
        <v>56</v>
      </c>
      <c r="Y4" s="3">
        <v>-0.25464233080638532</v>
      </c>
      <c r="AB4" s="32">
        <v>29</v>
      </c>
    </row>
    <row r="5" spans="1:28" ht="15.75" x14ac:dyDescent="0.25">
      <c r="A5" s="2">
        <v>43486</v>
      </c>
      <c r="B5" s="1">
        <v>24</v>
      </c>
      <c r="C5" s="1">
        <v>3</v>
      </c>
      <c r="D5" s="1">
        <f t="shared" si="2"/>
        <v>17</v>
      </c>
      <c r="E5" s="10">
        <v>3661</v>
      </c>
      <c r="F5" s="10">
        <v>19778</v>
      </c>
      <c r="G5" s="10">
        <f t="shared" ref="G5:G15" si="5">S5+G4</f>
        <v>7626</v>
      </c>
      <c r="H5" s="10">
        <v>5245</v>
      </c>
      <c r="I5" s="1">
        <f t="shared" ref="I5:I36" si="6">U5+I4</f>
        <v>0</v>
      </c>
      <c r="J5" s="1">
        <f t="shared" ref="J5:J59" si="7">V5+J4</f>
        <v>97</v>
      </c>
      <c r="K5" s="9">
        <f t="shared" si="3"/>
        <v>45.690009172156131</v>
      </c>
      <c r="L5" s="3" t="s">
        <v>56</v>
      </c>
      <c r="M5" s="3">
        <v>-8.687674784839701E-2</v>
      </c>
      <c r="N5" s="14"/>
      <c r="O5" s="1">
        <f t="shared" si="4"/>
        <v>2</v>
      </c>
      <c r="P5" s="11">
        <v>17</v>
      </c>
      <c r="Q5" s="1">
        <v>2</v>
      </c>
      <c r="R5" s="1">
        <v>3076</v>
      </c>
      <c r="S5" s="1">
        <v>0</v>
      </c>
      <c r="T5" s="1">
        <v>0</v>
      </c>
      <c r="U5" s="1">
        <v>0</v>
      </c>
      <c r="V5" s="1">
        <v>43</v>
      </c>
      <c r="W5" s="9">
        <f t="shared" si="1"/>
        <v>23.315798014312602</v>
      </c>
      <c r="X5" s="3" t="s">
        <v>0</v>
      </c>
      <c r="Y5" s="3">
        <v>4.2273059925638469E-3</v>
      </c>
      <c r="AB5" s="32">
        <v>43</v>
      </c>
    </row>
    <row r="6" spans="1:28" ht="15.75" x14ac:dyDescent="0.25">
      <c r="A6" s="2">
        <v>43493</v>
      </c>
      <c r="B6" s="1">
        <v>46</v>
      </c>
      <c r="C6" s="1">
        <v>4</v>
      </c>
      <c r="D6" s="1">
        <f t="shared" si="2"/>
        <v>19</v>
      </c>
      <c r="E6" s="10">
        <v>3663</v>
      </c>
      <c r="F6" s="10">
        <v>23297</v>
      </c>
      <c r="G6" s="10">
        <f t="shared" si="5"/>
        <v>7626</v>
      </c>
      <c r="H6" s="10">
        <v>5250</v>
      </c>
      <c r="I6" s="1">
        <f t="shared" si="6"/>
        <v>0</v>
      </c>
      <c r="J6" s="1">
        <f t="shared" si="7"/>
        <v>141</v>
      </c>
      <c r="K6" s="9">
        <f t="shared" si="3"/>
        <v>61.330718467960878</v>
      </c>
      <c r="L6" s="3" t="s">
        <v>0</v>
      </c>
      <c r="M6" s="3">
        <v>-3.8568739459094994E-3</v>
      </c>
      <c r="N6" s="14"/>
      <c r="O6" s="1">
        <f t="shared" si="4"/>
        <v>22</v>
      </c>
      <c r="P6" s="11">
        <v>19</v>
      </c>
      <c r="Q6" s="1">
        <v>2</v>
      </c>
      <c r="R6" s="1">
        <v>3519</v>
      </c>
      <c r="S6" s="1">
        <v>0</v>
      </c>
      <c r="T6" s="1">
        <v>5</v>
      </c>
      <c r="U6" s="1">
        <v>0</v>
      </c>
      <c r="V6" s="1">
        <v>44</v>
      </c>
      <c r="W6" s="9">
        <f t="shared" si="1"/>
        <v>26.481349839434721</v>
      </c>
      <c r="X6" s="3" t="s">
        <v>3</v>
      </c>
      <c r="Y6" s="3">
        <v>8.2726127382616622E-3</v>
      </c>
      <c r="AB6" s="32">
        <v>44</v>
      </c>
    </row>
    <row r="7" spans="1:28" ht="15.75" x14ac:dyDescent="0.25">
      <c r="A7" s="2">
        <v>43500</v>
      </c>
      <c r="B7" s="10">
        <v>115</v>
      </c>
      <c r="C7" s="1">
        <v>5</v>
      </c>
      <c r="D7" s="1">
        <f t="shared" si="2"/>
        <v>34</v>
      </c>
      <c r="E7" s="10">
        <v>3665</v>
      </c>
      <c r="F7" s="10">
        <v>28117</v>
      </c>
      <c r="G7" s="10">
        <f t="shared" si="5"/>
        <v>7626</v>
      </c>
      <c r="H7" s="10">
        <v>5274</v>
      </c>
      <c r="I7" s="1">
        <f t="shared" si="6"/>
        <v>3</v>
      </c>
      <c r="J7" s="1">
        <f t="shared" si="7"/>
        <v>177</v>
      </c>
      <c r="K7" s="9">
        <f t="shared" si="3"/>
        <v>92.325755793866975</v>
      </c>
      <c r="L7" s="3" t="s">
        <v>3</v>
      </c>
      <c r="M7" s="3">
        <v>-1.4081935110757109E-3</v>
      </c>
      <c r="N7" s="14"/>
      <c r="O7" s="10">
        <f t="shared" si="4"/>
        <v>69</v>
      </c>
      <c r="P7" s="11">
        <v>34</v>
      </c>
      <c r="Q7" s="1">
        <v>2</v>
      </c>
      <c r="R7" s="1">
        <v>4820</v>
      </c>
      <c r="S7" s="1">
        <v>0</v>
      </c>
      <c r="T7" s="1">
        <v>24</v>
      </c>
      <c r="U7" s="1">
        <v>3</v>
      </c>
      <c r="V7" s="1">
        <v>36</v>
      </c>
      <c r="W7" s="9">
        <f t="shared" si="1"/>
        <v>54.770180314153123</v>
      </c>
      <c r="X7" s="3" t="s">
        <v>4</v>
      </c>
      <c r="Y7" s="3">
        <v>-3.5754809232479336E-3</v>
      </c>
      <c r="AB7" s="32">
        <v>36</v>
      </c>
    </row>
    <row r="8" spans="1:28" ht="15.75" x14ac:dyDescent="0.25">
      <c r="A8" s="2">
        <v>43507</v>
      </c>
      <c r="B8" s="1">
        <v>123</v>
      </c>
      <c r="C8" s="1">
        <v>6</v>
      </c>
      <c r="D8" s="1">
        <f t="shared" si="2"/>
        <v>24</v>
      </c>
      <c r="E8" s="10">
        <v>3668</v>
      </c>
      <c r="F8" s="10">
        <v>31575</v>
      </c>
      <c r="G8" s="10">
        <f t="shared" si="5"/>
        <v>7626</v>
      </c>
      <c r="H8" s="10">
        <v>6692</v>
      </c>
      <c r="I8" s="1">
        <f t="shared" si="6"/>
        <v>3</v>
      </c>
      <c r="J8" s="1">
        <f t="shared" si="7"/>
        <v>241</v>
      </c>
      <c r="K8" s="9">
        <f t="shared" si="3"/>
        <v>116.09456599380135</v>
      </c>
      <c r="L8" s="3" t="s">
        <v>4</v>
      </c>
      <c r="M8" s="3">
        <v>6.7659850903651329E-4</v>
      </c>
      <c r="N8" s="14"/>
      <c r="O8" s="1">
        <f t="shared" si="4"/>
        <v>8</v>
      </c>
      <c r="P8" s="11">
        <v>24</v>
      </c>
      <c r="Q8" s="1">
        <v>3</v>
      </c>
      <c r="R8" s="1">
        <v>3458</v>
      </c>
      <c r="S8" s="1">
        <v>0</v>
      </c>
      <c r="T8" s="1">
        <v>1418</v>
      </c>
      <c r="U8" s="1">
        <v>0</v>
      </c>
      <c r="V8" s="1">
        <v>64</v>
      </c>
      <c r="W8" s="9">
        <f t="shared" si="1"/>
        <v>27.553247859735041</v>
      </c>
      <c r="X8" s="3" t="s">
        <v>5</v>
      </c>
      <c r="Y8" s="3">
        <v>2.0138087369947952E-3</v>
      </c>
      <c r="AB8" s="32">
        <v>64</v>
      </c>
    </row>
    <row r="9" spans="1:28" ht="16.5" thickBot="1" x14ac:dyDescent="0.3">
      <c r="A9" s="2">
        <v>43514</v>
      </c>
      <c r="B9" s="1">
        <v>143</v>
      </c>
      <c r="C9" s="1">
        <v>7</v>
      </c>
      <c r="D9" s="1">
        <f t="shared" si="2"/>
        <v>24</v>
      </c>
      <c r="E9" s="10">
        <v>3670</v>
      </c>
      <c r="F9" s="10">
        <f t="shared" ref="F9:F17" si="8">R9+F8</f>
        <v>35169</v>
      </c>
      <c r="G9" s="10">
        <f t="shared" si="5"/>
        <v>7626</v>
      </c>
      <c r="H9" s="10">
        <v>7762</v>
      </c>
      <c r="I9" s="1">
        <f t="shared" si="6"/>
        <v>3</v>
      </c>
      <c r="J9" s="1">
        <f t="shared" si="7"/>
        <v>375</v>
      </c>
      <c r="K9" s="9">
        <f t="shared" si="3"/>
        <v>140.42299802115744</v>
      </c>
      <c r="L9" s="3" t="s">
        <v>5</v>
      </c>
      <c r="M9" s="3">
        <v>4.3253674788988521E-3</v>
      </c>
      <c r="N9" s="14"/>
      <c r="O9" s="1">
        <f t="shared" si="4"/>
        <v>20</v>
      </c>
      <c r="P9" s="11">
        <v>24</v>
      </c>
      <c r="Q9" s="1">
        <v>2</v>
      </c>
      <c r="R9" s="1">
        <v>3594</v>
      </c>
      <c r="S9" s="1">
        <v>0</v>
      </c>
      <c r="T9" s="1">
        <v>1070</v>
      </c>
      <c r="U9" s="1">
        <v>0</v>
      </c>
      <c r="V9" s="1">
        <v>134</v>
      </c>
      <c r="W9" s="9">
        <f t="shared" si="1"/>
        <v>27.973290445671875</v>
      </c>
      <c r="X9" s="4" t="s">
        <v>57</v>
      </c>
      <c r="Y9" s="4">
        <v>7.1025112994442843</v>
      </c>
      <c r="AB9" s="32">
        <v>134</v>
      </c>
    </row>
    <row r="10" spans="1:28" ht="15.75" x14ac:dyDescent="0.25">
      <c r="A10" s="2">
        <v>43521</v>
      </c>
      <c r="B10" s="1">
        <v>161</v>
      </c>
      <c r="C10" s="1">
        <v>8</v>
      </c>
      <c r="D10" s="1">
        <f t="shared" si="2"/>
        <v>39</v>
      </c>
      <c r="E10" s="10">
        <v>3678</v>
      </c>
      <c r="F10" s="10">
        <f t="shared" si="8"/>
        <v>39893</v>
      </c>
      <c r="G10" s="10">
        <f t="shared" si="5"/>
        <v>7626</v>
      </c>
      <c r="H10" s="10">
        <f>S10+H9</f>
        <v>7762</v>
      </c>
      <c r="I10" s="1">
        <f t="shared" si="6"/>
        <v>3</v>
      </c>
      <c r="J10" s="1">
        <f t="shared" si="7"/>
        <v>447</v>
      </c>
      <c r="K10" s="9">
        <f t="shared" si="3"/>
        <v>154.44117818586597</v>
      </c>
      <c r="L10" s="3" t="s">
        <v>57</v>
      </c>
      <c r="M10" s="3">
        <v>6.1967735429183222</v>
      </c>
      <c r="N10" s="14"/>
      <c r="O10" s="1">
        <f t="shared" si="4"/>
        <v>18</v>
      </c>
      <c r="P10" s="11">
        <v>39</v>
      </c>
      <c r="Q10" s="1">
        <v>8</v>
      </c>
      <c r="R10" s="1">
        <v>4724</v>
      </c>
      <c r="S10" s="1">
        <v>0</v>
      </c>
      <c r="T10" s="1">
        <v>0</v>
      </c>
      <c r="U10" s="1">
        <v>0</v>
      </c>
      <c r="V10" s="1">
        <v>72</v>
      </c>
      <c r="W10" s="9">
        <f t="shared" si="1"/>
        <v>31.372296365182727</v>
      </c>
      <c r="AB10" s="32">
        <v>72</v>
      </c>
    </row>
    <row r="11" spans="1:28" ht="15.4" customHeight="1" thickBot="1" x14ac:dyDescent="0.3">
      <c r="A11" s="2">
        <v>43528</v>
      </c>
      <c r="B11" s="1">
        <v>171</v>
      </c>
      <c r="C11" s="1">
        <v>9</v>
      </c>
      <c r="D11" s="1">
        <f t="shared" si="2"/>
        <v>110</v>
      </c>
      <c r="E11" s="10">
        <v>3854</v>
      </c>
      <c r="F11" s="10">
        <f t="shared" si="8"/>
        <v>46373</v>
      </c>
      <c r="G11" s="10">
        <f t="shared" si="5"/>
        <v>7626</v>
      </c>
      <c r="H11" s="10">
        <v>9923</v>
      </c>
      <c r="I11" s="1">
        <f t="shared" si="6"/>
        <v>6</v>
      </c>
      <c r="J11" s="1">
        <f t="shared" si="7"/>
        <v>734</v>
      </c>
      <c r="K11" s="9">
        <f t="shared" si="3"/>
        <v>197.99772967773515</v>
      </c>
      <c r="L11" s="4" t="s">
        <v>62</v>
      </c>
      <c r="M11" s="4">
        <v>4.4589637601754606E-2</v>
      </c>
      <c r="N11" s="14"/>
      <c r="O11" s="1">
        <f t="shared" si="4"/>
        <v>10</v>
      </c>
      <c r="P11" s="11">
        <v>110</v>
      </c>
      <c r="Q11" s="1">
        <v>176</v>
      </c>
      <c r="R11" s="1">
        <v>6480</v>
      </c>
      <c r="S11" s="1">
        <v>0</v>
      </c>
      <c r="T11" s="1">
        <v>2161</v>
      </c>
      <c r="U11" s="1">
        <v>3</v>
      </c>
      <c r="V11" s="1">
        <v>287</v>
      </c>
      <c r="W11" s="9">
        <f t="shared" si="1"/>
        <v>54.188960832046178</v>
      </c>
      <c r="AB11" s="32">
        <v>287</v>
      </c>
    </row>
    <row r="12" spans="1:28" ht="15.75" x14ac:dyDescent="0.25">
      <c r="A12" s="2">
        <v>43535</v>
      </c>
      <c r="B12" s="1">
        <v>223</v>
      </c>
      <c r="C12" s="1">
        <v>10</v>
      </c>
      <c r="D12" s="1">
        <f t="shared" si="2"/>
        <v>86</v>
      </c>
      <c r="E12" s="10">
        <v>4856</v>
      </c>
      <c r="F12" s="10">
        <f t="shared" si="8"/>
        <v>52727</v>
      </c>
      <c r="G12" s="10">
        <f t="shared" si="5"/>
        <v>7626</v>
      </c>
      <c r="H12" s="10">
        <v>11545</v>
      </c>
      <c r="I12" s="1">
        <f t="shared" si="6"/>
        <v>7</v>
      </c>
      <c r="J12" s="1">
        <f t="shared" si="7"/>
        <v>872</v>
      </c>
      <c r="K12" s="9">
        <f t="shared" si="3"/>
        <v>225.43045055865176</v>
      </c>
      <c r="N12" s="14"/>
      <c r="O12" s="1">
        <f t="shared" si="4"/>
        <v>52</v>
      </c>
      <c r="P12" s="11">
        <v>86</v>
      </c>
      <c r="Q12" s="11">
        <v>1002</v>
      </c>
      <c r="R12" s="1">
        <v>6354</v>
      </c>
      <c r="S12" s="1">
        <v>0</v>
      </c>
      <c r="T12" s="1">
        <v>1622</v>
      </c>
      <c r="U12" s="1">
        <v>1</v>
      </c>
      <c r="V12" s="1">
        <v>138</v>
      </c>
      <c r="W12" s="9">
        <f t="shared" si="1"/>
        <v>47.459316808107431</v>
      </c>
      <c r="AB12" s="32">
        <v>138</v>
      </c>
    </row>
    <row r="13" spans="1:28" ht="15.75" x14ac:dyDescent="0.25">
      <c r="A13" s="2">
        <v>43542</v>
      </c>
      <c r="B13" s="1">
        <v>259</v>
      </c>
      <c r="C13" s="1">
        <v>11</v>
      </c>
      <c r="D13" s="1">
        <f t="shared" si="2"/>
        <v>55</v>
      </c>
      <c r="E13" s="10">
        <v>5653</v>
      </c>
      <c r="F13" s="10">
        <f t="shared" si="8"/>
        <v>58784</v>
      </c>
      <c r="G13" s="10">
        <f t="shared" si="5"/>
        <v>7626</v>
      </c>
      <c r="H13" s="10">
        <v>13978</v>
      </c>
      <c r="I13" s="1">
        <f t="shared" si="6"/>
        <v>7</v>
      </c>
      <c r="J13" s="1">
        <f t="shared" si="7"/>
        <v>1000</v>
      </c>
      <c r="K13" s="9">
        <f t="shared" si="3"/>
        <v>251.5454044126592</v>
      </c>
      <c r="N13" s="14"/>
      <c r="O13" s="1">
        <f t="shared" si="4"/>
        <v>36</v>
      </c>
      <c r="P13" s="11">
        <v>55</v>
      </c>
      <c r="Q13" s="11">
        <v>797</v>
      </c>
      <c r="R13" s="1">
        <v>6057</v>
      </c>
      <c r="S13" s="1">
        <v>0</v>
      </c>
      <c r="T13" s="1">
        <v>2433</v>
      </c>
      <c r="U13" s="1">
        <v>0</v>
      </c>
      <c r="V13" s="1">
        <v>128</v>
      </c>
      <c r="W13" s="9">
        <f t="shared" si="1"/>
        <v>46.560352937624572</v>
      </c>
      <c r="AB13" s="32">
        <v>128</v>
      </c>
    </row>
    <row r="14" spans="1:28" ht="15.75" x14ac:dyDescent="0.25">
      <c r="A14" s="2">
        <v>43549</v>
      </c>
      <c r="B14" s="1">
        <v>284</v>
      </c>
      <c r="C14" s="1">
        <v>12</v>
      </c>
      <c r="D14" s="1">
        <f t="shared" si="2"/>
        <v>79</v>
      </c>
      <c r="E14" s="10">
        <v>6855</v>
      </c>
      <c r="F14" s="10">
        <f t="shared" si="8"/>
        <v>63043</v>
      </c>
      <c r="G14" s="10">
        <f t="shared" si="5"/>
        <v>7626</v>
      </c>
      <c r="H14" s="10">
        <v>18077</v>
      </c>
      <c r="I14" s="1">
        <f t="shared" si="6"/>
        <v>7</v>
      </c>
      <c r="J14" s="1">
        <f t="shared" si="7"/>
        <v>1120</v>
      </c>
      <c r="K14" s="9">
        <f t="shared" si="3"/>
        <v>280.70138023885704</v>
      </c>
      <c r="N14" s="14"/>
      <c r="O14" s="1">
        <f t="shared" si="4"/>
        <v>25</v>
      </c>
      <c r="P14" s="11">
        <v>79</v>
      </c>
      <c r="Q14" s="11">
        <v>1202</v>
      </c>
      <c r="R14" s="1">
        <v>4259</v>
      </c>
      <c r="S14" s="1">
        <v>0</v>
      </c>
      <c r="T14" s="1">
        <v>4099</v>
      </c>
      <c r="U14" s="1">
        <v>0</v>
      </c>
      <c r="V14" s="1">
        <v>120</v>
      </c>
      <c r="W14" s="9">
        <f t="shared" si="1"/>
        <v>30.641843577698545</v>
      </c>
      <c r="AB14" s="32">
        <v>120</v>
      </c>
    </row>
    <row r="15" spans="1:28" ht="15.75" x14ac:dyDescent="0.25">
      <c r="A15" s="2">
        <v>43556</v>
      </c>
      <c r="B15" s="1">
        <v>322</v>
      </c>
      <c r="C15" s="1">
        <v>13</v>
      </c>
      <c r="D15" s="1">
        <f t="shared" si="2"/>
        <v>66</v>
      </c>
      <c r="E15" s="10">
        <v>8609</v>
      </c>
      <c r="F15" s="10">
        <f t="shared" si="8"/>
        <v>71531</v>
      </c>
      <c r="G15" s="10">
        <f t="shared" si="5"/>
        <v>7626</v>
      </c>
      <c r="H15" s="10">
        <v>21141</v>
      </c>
      <c r="I15" s="1">
        <f t="shared" si="6"/>
        <v>7</v>
      </c>
      <c r="J15" s="1">
        <f t="shared" si="7"/>
        <v>1190</v>
      </c>
      <c r="K15" s="9">
        <f t="shared" si="3"/>
        <v>298.28131373821634</v>
      </c>
      <c r="N15" s="14"/>
      <c r="O15" s="1">
        <f t="shared" si="4"/>
        <v>38</v>
      </c>
      <c r="P15" s="11">
        <v>66</v>
      </c>
      <c r="Q15" s="11">
        <v>1754</v>
      </c>
      <c r="R15" s="1">
        <v>8488</v>
      </c>
      <c r="S15" s="1">
        <v>0</v>
      </c>
      <c r="T15" s="1">
        <v>3064</v>
      </c>
      <c r="U15" s="1">
        <v>0</v>
      </c>
      <c r="V15" s="1">
        <v>70</v>
      </c>
      <c r="W15" s="9">
        <f t="shared" si="1"/>
        <v>69.18625401339574</v>
      </c>
      <c r="AB15" s="32">
        <v>70</v>
      </c>
    </row>
    <row r="16" spans="1:28" ht="15.75" x14ac:dyDescent="0.25">
      <c r="A16" s="2">
        <v>43563</v>
      </c>
      <c r="B16" s="1">
        <v>344</v>
      </c>
      <c r="C16" s="1">
        <v>14</v>
      </c>
      <c r="D16" s="1">
        <f t="shared" si="2"/>
        <v>79</v>
      </c>
      <c r="E16" s="10">
        <v>10695</v>
      </c>
      <c r="F16" s="10">
        <f t="shared" si="8"/>
        <v>78713</v>
      </c>
      <c r="G16" s="10">
        <v>57835</v>
      </c>
      <c r="H16" s="10">
        <v>25889</v>
      </c>
      <c r="I16" s="1">
        <f t="shared" si="6"/>
        <v>7</v>
      </c>
      <c r="J16" s="1">
        <f t="shared" si="7"/>
        <v>1272</v>
      </c>
      <c r="K16" s="9">
        <f t="shared" si="3"/>
        <v>355.95139939484113</v>
      </c>
      <c r="N16" s="14"/>
      <c r="O16" s="1">
        <f t="shared" si="4"/>
        <v>22</v>
      </c>
      <c r="P16" s="11">
        <v>79</v>
      </c>
      <c r="Q16" s="11">
        <v>2086</v>
      </c>
      <c r="R16" s="1">
        <v>7182</v>
      </c>
      <c r="S16" s="1">
        <v>50209</v>
      </c>
      <c r="T16" s="1">
        <v>4748</v>
      </c>
      <c r="U16" s="1">
        <v>0</v>
      </c>
      <c r="V16" s="1">
        <v>82</v>
      </c>
      <c r="W16" s="9">
        <f t="shared" si="1"/>
        <v>-119.65473069598204</v>
      </c>
      <c r="AB16" s="32">
        <v>82</v>
      </c>
    </row>
    <row r="17" spans="1:28" ht="15.75" x14ac:dyDescent="0.25">
      <c r="A17" s="2">
        <v>43570</v>
      </c>
      <c r="B17" s="1">
        <v>390</v>
      </c>
      <c r="C17" s="1">
        <v>15</v>
      </c>
      <c r="D17" s="1">
        <f t="shared" si="2"/>
        <v>62</v>
      </c>
      <c r="E17" s="10">
        <v>12986</v>
      </c>
      <c r="F17" s="10">
        <f t="shared" si="8"/>
        <v>85374</v>
      </c>
      <c r="G17" s="10">
        <f>S17+G16</f>
        <v>64407</v>
      </c>
      <c r="H17" s="10">
        <v>30660</v>
      </c>
      <c r="I17" s="1">
        <f t="shared" si="6"/>
        <v>9</v>
      </c>
      <c r="J17" s="1">
        <f t="shared" si="7"/>
        <v>1364</v>
      </c>
      <c r="K17" s="9">
        <f t="shared" si="3"/>
        <v>399.58499492231942</v>
      </c>
      <c r="N17" s="14"/>
      <c r="O17" s="1">
        <f t="shared" si="4"/>
        <v>46</v>
      </c>
      <c r="P17" s="11">
        <v>62</v>
      </c>
      <c r="Q17" s="11">
        <v>2291</v>
      </c>
      <c r="R17" s="1">
        <v>6661</v>
      </c>
      <c r="S17" s="1">
        <v>6572</v>
      </c>
      <c r="T17" s="1">
        <v>4771</v>
      </c>
      <c r="U17" s="1">
        <v>2</v>
      </c>
      <c r="V17" s="1">
        <v>92</v>
      </c>
      <c r="W17" s="9">
        <f t="shared" si="1"/>
        <v>51.505356667177281</v>
      </c>
      <c r="AB17" s="32">
        <v>92</v>
      </c>
    </row>
    <row r="18" spans="1:28" ht="15.75" x14ac:dyDescent="0.25">
      <c r="A18" s="2">
        <v>43577</v>
      </c>
      <c r="B18" s="1">
        <v>428</v>
      </c>
      <c r="C18" s="1">
        <v>16</v>
      </c>
      <c r="D18" s="1">
        <f t="shared" si="2"/>
        <v>83</v>
      </c>
      <c r="E18" s="10">
        <v>15794</v>
      </c>
      <c r="F18" s="10">
        <v>92586</v>
      </c>
      <c r="G18" s="10">
        <v>68761</v>
      </c>
      <c r="H18" s="10">
        <v>35507</v>
      </c>
      <c r="I18" s="1">
        <f t="shared" si="6"/>
        <v>9</v>
      </c>
      <c r="J18" s="1">
        <f t="shared" si="7"/>
        <v>1428</v>
      </c>
      <c r="K18" s="9">
        <f t="shared" si="3"/>
        <v>422.3333310735884</v>
      </c>
      <c r="N18" s="14"/>
      <c r="O18" s="1">
        <f t="shared" si="4"/>
        <v>38</v>
      </c>
      <c r="P18" s="11">
        <v>83</v>
      </c>
      <c r="Q18" s="11">
        <v>2808</v>
      </c>
      <c r="R18" s="1">
        <v>7212</v>
      </c>
      <c r="S18" s="1">
        <v>4354</v>
      </c>
      <c r="T18" s="1">
        <v>4847</v>
      </c>
      <c r="U18" s="1">
        <v>0</v>
      </c>
      <c r="V18" s="1">
        <v>64</v>
      </c>
      <c r="W18" s="9">
        <f t="shared" si="1"/>
        <v>46.780038090067833</v>
      </c>
      <c r="AB18" s="32">
        <v>64</v>
      </c>
    </row>
    <row r="19" spans="1:28" ht="15.75" x14ac:dyDescent="0.25">
      <c r="A19" s="2">
        <v>43584</v>
      </c>
      <c r="B19" s="1">
        <v>453</v>
      </c>
      <c r="C19" s="1">
        <v>17</v>
      </c>
      <c r="D19" s="1">
        <f t="shared" si="2"/>
        <v>139</v>
      </c>
      <c r="E19" s="10">
        <v>19095</v>
      </c>
      <c r="F19" s="10">
        <f>R19+F18</f>
        <v>99495</v>
      </c>
      <c r="G19" s="10">
        <f>S19+G18</f>
        <v>75399</v>
      </c>
      <c r="H19" s="10">
        <v>40430</v>
      </c>
      <c r="I19" s="1">
        <f t="shared" si="6"/>
        <v>10</v>
      </c>
      <c r="J19" s="1">
        <f t="shared" si="7"/>
        <v>1504</v>
      </c>
      <c r="K19" s="9">
        <f t="shared" si="3"/>
        <v>449.172152945861</v>
      </c>
      <c r="N19" s="14"/>
      <c r="O19" s="1">
        <f t="shared" si="4"/>
        <v>25</v>
      </c>
      <c r="P19" s="11">
        <v>139</v>
      </c>
      <c r="Q19" s="11">
        <v>3301</v>
      </c>
      <c r="R19" s="1">
        <v>6909</v>
      </c>
      <c r="S19" s="1">
        <v>6638</v>
      </c>
      <c r="T19" s="1">
        <v>4923</v>
      </c>
      <c r="U19" s="1">
        <v>1</v>
      </c>
      <c r="V19" s="1">
        <v>76</v>
      </c>
      <c r="W19" s="9">
        <f t="shared" si="1"/>
        <v>31.186690094308549</v>
      </c>
      <c r="AB19" s="32">
        <v>76</v>
      </c>
    </row>
    <row r="20" spans="1:28" s="42" customFormat="1" ht="15.75" x14ac:dyDescent="0.25">
      <c r="A20" s="36">
        <v>43591</v>
      </c>
      <c r="B20" s="37">
        <v>487</v>
      </c>
      <c r="C20" s="37">
        <v>18</v>
      </c>
      <c r="D20" s="37">
        <f t="shared" si="2"/>
        <v>101</v>
      </c>
      <c r="E20" s="10">
        <v>22427</v>
      </c>
      <c r="F20" s="10">
        <f>R20+F19</f>
        <v>106761</v>
      </c>
      <c r="G20" s="10">
        <f>S20+G19</f>
        <v>82571</v>
      </c>
      <c r="H20" s="10">
        <v>45120</v>
      </c>
      <c r="I20" s="37">
        <f t="shared" si="6"/>
        <v>11</v>
      </c>
      <c r="J20" s="1">
        <f t="shared" si="7"/>
        <v>1603</v>
      </c>
      <c r="K20" s="9">
        <f t="shared" si="3"/>
        <v>483.93415558618813</v>
      </c>
      <c r="L20" s="38"/>
      <c r="M20" s="37"/>
      <c r="N20" s="39"/>
      <c r="O20" s="37">
        <f t="shared" si="4"/>
        <v>34</v>
      </c>
      <c r="P20" s="40">
        <v>101</v>
      </c>
      <c r="Q20" s="40">
        <v>3332</v>
      </c>
      <c r="R20" s="37">
        <v>7266</v>
      </c>
      <c r="S20" s="37">
        <v>7172</v>
      </c>
      <c r="T20" s="37">
        <v>4690</v>
      </c>
      <c r="U20" s="37">
        <v>1</v>
      </c>
      <c r="V20" s="37">
        <v>99</v>
      </c>
      <c r="W20" s="38">
        <f t="shared" si="1"/>
        <v>41.568943649545915</v>
      </c>
      <c r="X20" s="37"/>
      <c r="Y20" s="37"/>
      <c r="AB20" s="41">
        <v>99</v>
      </c>
    </row>
    <row r="21" spans="1:28" ht="15.75" x14ac:dyDescent="0.25">
      <c r="A21" s="2">
        <v>43598</v>
      </c>
      <c r="B21" s="43">
        <f>B20+O21</f>
        <v>519</v>
      </c>
      <c r="C21" s="1">
        <v>19</v>
      </c>
      <c r="D21" s="1">
        <f t="shared" si="2"/>
        <v>88</v>
      </c>
      <c r="E21" s="10">
        <v>25949</v>
      </c>
      <c r="F21" s="10">
        <v>113615</v>
      </c>
      <c r="G21" s="10">
        <v>89231</v>
      </c>
      <c r="H21" s="10">
        <v>51386</v>
      </c>
      <c r="I21" s="1">
        <f t="shared" si="6"/>
        <v>12</v>
      </c>
      <c r="J21" s="1">
        <f t="shared" si="7"/>
        <v>1722</v>
      </c>
      <c r="K21" s="9">
        <f t="shared" si="3"/>
        <v>523.7337626692987</v>
      </c>
      <c r="N21" s="14"/>
      <c r="O21" s="43">
        <v>32</v>
      </c>
      <c r="P21" s="54">
        <f>INT(SUM(P16:P19)/(SUM(O16:O19))*O21)</f>
        <v>88</v>
      </c>
      <c r="Q21" s="54">
        <v>3522</v>
      </c>
      <c r="R21" s="10">
        <v>6854</v>
      </c>
      <c r="S21" s="10">
        <v>6660</v>
      </c>
      <c r="T21" s="10">
        <v>6266</v>
      </c>
      <c r="U21" s="10">
        <v>1</v>
      </c>
      <c r="V21" s="1">
        <v>119</v>
      </c>
      <c r="W21" s="9">
        <f t="shared" si="1"/>
        <v>47.278574442658979</v>
      </c>
      <c r="AB21" s="32">
        <v>119</v>
      </c>
    </row>
    <row r="22" spans="1:28" ht="15.75" x14ac:dyDescent="0.25">
      <c r="A22" s="2">
        <v>43605</v>
      </c>
      <c r="B22" s="43">
        <f>B21+O22</f>
        <v>542</v>
      </c>
      <c r="C22" s="1">
        <v>20</v>
      </c>
      <c r="D22" s="1">
        <f t="shared" si="2"/>
        <v>61</v>
      </c>
      <c r="E22" s="10">
        <v>30574</v>
      </c>
      <c r="F22" s="10">
        <v>127096</v>
      </c>
      <c r="G22" s="10">
        <v>96425</v>
      </c>
      <c r="H22" s="10">
        <v>55436</v>
      </c>
      <c r="I22" s="1">
        <f t="shared" si="6"/>
        <v>15</v>
      </c>
      <c r="J22" s="1">
        <f t="shared" si="7"/>
        <v>1802</v>
      </c>
      <c r="K22" s="9">
        <f t="shared" si="3"/>
        <v>552.59425435200387</v>
      </c>
      <c r="N22" s="14"/>
      <c r="O22" s="10">
        <v>23</v>
      </c>
      <c r="P22" s="54">
        <f>INT(SUM(P17:P20)/(SUM(O17:O20))*O22)</f>
        <v>61</v>
      </c>
      <c r="Q22" s="54">
        <v>4625</v>
      </c>
      <c r="R22" s="10">
        <v>13481</v>
      </c>
      <c r="S22" s="10">
        <v>7194</v>
      </c>
      <c r="T22" s="10">
        <v>4050</v>
      </c>
      <c r="U22" s="10">
        <v>3</v>
      </c>
      <c r="V22" s="1">
        <v>80</v>
      </c>
      <c r="W22" s="9">
        <f t="shared" si="1"/>
        <v>121.47235612538304</v>
      </c>
      <c r="AB22" s="32">
        <v>59</v>
      </c>
    </row>
    <row r="23" spans="1:28" x14ac:dyDescent="0.25">
      <c r="A23" s="2">
        <v>43612</v>
      </c>
      <c r="B23" s="10">
        <v>585</v>
      </c>
      <c r="C23" s="1">
        <v>21</v>
      </c>
      <c r="D23" s="1">
        <f t="shared" si="2"/>
        <v>75</v>
      </c>
      <c r="E23" s="10">
        <v>35423</v>
      </c>
      <c r="F23" s="10">
        <f>R23+F22</f>
        <v>131873</v>
      </c>
      <c r="G23" s="10">
        <v>106438</v>
      </c>
      <c r="H23" s="10">
        <v>66338</v>
      </c>
      <c r="I23" s="1">
        <f t="shared" si="6"/>
        <v>15</v>
      </c>
      <c r="J23" s="1">
        <f t="shared" si="7"/>
        <v>1882</v>
      </c>
      <c r="K23" s="9">
        <f t="shared" si="3"/>
        <v>602.24020446307782</v>
      </c>
      <c r="N23" s="14"/>
      <c r="O23" s="9">
        <f t="shared" ref="O23:O59" si="9">B23-B22</f>
        <v>43</v>
      </c>
      <c r="P23" s="1">
        <v>75</v>
      </c>
      <c r="Q23" s="11">
        <v>4849</v>
      </c>
      <c r="R23" s="1">
        <v>4777</v>
      </c>
      <c r="S23" s="1">
        <v>10013</v>
      </c>
      <c r="T23" s="1">
        <v>10902</v>
      </c>
      <c r="U23" s="1">
        <v>0</v>
      </c>
      <c r="V23" s="1">
        <v>80</v>
      </c>
      <c r="W23" s="9">
        <f t="shared" si="1"/>
        <v>29.261261607518005</v>
      </c>
    </row>
    <row r="24" spans="1:28" s="49" customFormat="1" x14ac:dyDescent="0.25">
      <c r="A24" s="44">
        <v>43619</v>
      </c>
      <c r="B24" s="10">
        <v>616</v>
      </c>
      <c r="C24" s="45">
        <v>22</v>
      </c>
      <c r="D24" s="1">
        <f t="shared" si="2"/>
        <v>75</v>
      </c>
      <c r="E24" s="10">
        <v>39404</v>
      </c>
      <c r="F24" s="10">
        <v>137714</v>
      </c>
      <c r="G24" s="10">
        <v>111780</v>
      </c>
      <c r="H24" s="10">
        <v>70187</v>
      </c>
      <c r="I24" s="45">
        <f t="shared" si="6"/>
        <v>15</v>
      </c>
      <c r="J24" s="1">
        <f t="shared" si="7"/>
        <v>1962</v>
      </c>
      <c r="K24" s="9">
        <f t="shared" si="3"/>
        <v>621.28466926891087</v>
      </c>
      <c r="L24" s="46"/>
      <c r="M24" s="45"/>
      <c r="N24" s="47"/>
      <c r="O24" s="9">
        <f t="shared" si="9"/>
        <v>31</v>
      </c>
      <c r="P24" s="45">
        <v>75</v>
      </c>
      <c r="Q24" s="48">
        <v>3981</v>
      </c>
      <c r="R24" s="45">
        <v>5841</v>
      </c>
      <c r="S24" s="45">
        <v>5342</v>
      </c>
      <c r="T24" s="45">
        <v>3849</v>
      </c>
      <c r="U24" s="45">
        <v>0</v>
      </c>
      <c r="V24" s="45">
        <v>80</v>
      </c>
      <c r="W24" s="46">
        <f t="shared" si="1"/>
        <v>36.891698329949804</v>
      </c>
      <c r="X24" s="45"/>
      <c r="Y24" s="45"/>
    </row>
    <row r="25" spans="1:28" x14ac:dyDescent="0.25">
      <c r="A25" s="2">
        <v>43626</v>
      </c>
      <c r="B25" s="10">
        <v>654</v>
      </c>
      <c r="C25" s="1">
        <v>23</v>
      </c>
      <c r="D25" s="1">
        <f t="shared" si="2"/>
        <v>75</v>
      </c>
      <c r="E25" s="10">
        <v>43438</v>
      </c>
      <c r="F25" s="10">
        <v>143512</v>
      </c>
      <c r="G25" s="10">
        <v>125415</v>
      </c>
      <c r="H25" s="10">
        <v>76711</v>
      </c>
      <c r="I25" s="1">
        <f t="shared" si="6"/>
        <v>15</v>
      </c>
      <c r="J25" s="1">
        <f t="shared" si="7"/>
        <v>2042</v>
      </c>
      <c r="K25" s="9">
        <f t="shared" si="3"/>
        <v>657.3666615180814</v>
      </c>
      <c r="N25" s="14"/>
      <c r="O25" s="9">
        <f t="shared" si="9"/>
        <v>38</v>
      </c>
      <c r="P25" s="1">
        <v>75</v>
      </c>
      <c r="Q25" s="11">
        <v>4034</v>
      </c>
      <c r="R25" s="1">
        <v>5798</v>
      </c>
      <c r="S25" s="1">
        <v>13635</v>
      </c>
      <c r="T25" s="1">
        <v>6524</v>
      </c>
      <c r="U25" s="1">
        <v>0</v>
      </c>
      <c r="V25" s="1">
        <v>80</v>
      </c>
      <c r="W25" s="9">
        <f t="shared" si="1"/>
        <v>12.495498274776395</v>
      </c>
      <c r="Y25" s="8"/>
    </row>
    <row r="26" spans="1:28" x14ac:dyDescent="0.25">
      <c r="A26" s="2">
        <v>43633</v>
      </c>
      <c r="B26" s="10">
        <v>672</v>
      </c>
      <c r="C26" s="1">
        <v>24</v>
      </c>
      <c r="D26" s="1">
        <f t="shared" si="2"/>
        <v>75</v>
      </c>
      <c r="E26" s="10">
        <v>47803</v>
      </c>
      <c r="F26" s="10">
        <v>152699</v>
      </c>
      <c r="G26" s="10">
        <v>129756</v>
      </c>
      <c r="H26" s="10">
        <v>84607</v>
      </c>
      <c r="I26" s="1">
        <f t="shared" si="6"/>
        <v>15</v>
      </c>
      <c r="J26" s="1">
        <f t="shared" si="7"/>
        <v>2122</v>
      </c>
      <c r="K26" s="9">
        <f t="shared" si="3"/>
        <v>687.04575832018429</v>
      </c>
      <c r="N26" s="14"/>
      <c r="O26" s="9">
        <f t="shared" si="9"/>
        <v>18</v>
      </c>
      <c r="P26" s="1">
        <v>75</v>
      </c>
      <c r="Q26" s="11">
        <v>4365</v>
      </c>
      <c r="R26" s="1">
        <v>9187</v>
      </c>
      <c r="S26" s="1">
        <v>4341</v>
      </c>
      <c r="T26" s="1">
        <v>7896</v>
      </c>
      <c r="U26" s="1">
        <v>0</v>
      </c>
      <c r="V26" s="1">
        <v>80</v>
      </c>
      <c r="W26" s="9">
        <f t="shared" si="1"/>
        <v>77.92408641610696</v>
      </c>
      <c r="Y26" s="8"/>
    </row>
    <row r="27" spans="1:28" x14ac:dyDescent="0.25">
      <c r="A27" s="2">
        <v>43640</v>
      </c>
      <c r="B27" s="10">
        <v>732</v>
      </c>
      <c r="C27" s="1">
        <v>25</v>
      </c>
      <c r="D27" s="1">
        <f t="shared" si="2"/>
        <v>75</v>
      </c>
      <c r="E27" s="10">
        <v>53726</v>
      </c>
      <c r="F27" s="10">
        <v>157398</v>
      </c>
      <c r="G27" s="10">
        <v>134532</v>
      </c>
      <c r="H27" s="10">
        <v>91439</v>
      </c>
      <c r="I27" s="1">
        <f t="shared" si="6"/>
        <v>15</v>
      </c>
      <c r="J27" s="1">
        <f t="shared" si="7"/>
        <v>2202</v>
      </c>
      <c r="K27" s="9">
        <f t="shared" si="3"/>
        <v>712.72794734615047</v>
      </c>
      <c r="N27" s="14"/>
      <c r="O27" s="9">
        <f t="shared" si="9"/>
        <v>60</v>
      </c>
      <c r="P27" s="1">
        <v>75</v>
      </c>
      <c r="Q27" s="11">
        <v>5923</v>
      </c>
      <c r="R27" s="1">
        <v>4699</v>
      </c>
      <c r="S27" s="1">
        <v>4776</v>
      </c>
      <c r="T27" s="1">
        <v>6832</v>
      </c>
      <c r="U27" s="1">
        <v>0</v>
      </c>
      <c r="V27" s="1">
        <v>80</v>
      </c>
      <c r="W27" s="9">
        <f t="shared" si="1"/>
        <v>43.684716485427771</v>
      </c>
    </row>
    <row r="28" spans="1:28" s="49" customFormat="1" x14ac:dyDescent="0.25">
      <c r="A28" s="44">
        <v>43647</v>
      </c>
      <c r="B28" s="10">
        <v>751</v>
      </c>
      <c r="C28" s="45">
        <v>26</v>
      </c>
      <c r="D28" s="1">
        <f t="shared" si="2"/>
        <v>150</v>
      </c>
      <c r="E28" s="10">
        <v>59955</v>
      </c>
      <c r="F28" s="10">
        <v>164228</v>
      </c>
      <c r="G28" s="10">
        <v>140374</v>
      </c>
      <c r="H28" s="10">
        <v>98090</v>
      </c>
      <c r="I28" s="45">
        <f t="shared" si="6"/>
        <v>18</v>
      </c>
      <c r="J28" s="1">
        <f t="shared" si="7"/>
        <v>2282</v>
      </c>
      <c r="K28" s="9">
        <f t="shared" si="3"/>
        <v>746.24199960964324</v>
      </c>
      <c r="L28" s="45"/>
      <c r="M28" s="45"/>
      <c r="N28" s="47"/>
      <c r="O28" s="9">
        <f t="shared" si="9"/>
        <v>19</v>
      </c>
      <c r="P28" s="45">
        <v>150</v>
      </c>
      <c r="Q28" s="48">
        <v>6229</v>
      </c>
      <c r="R28" s="45">
        <v>6830</v>
      </c>
      <c r="S28" s="45">
        <v>5842</v>
      </c>
      <c r="T28" s="45">
        <v>6651</v>
      </c>
      <c r="U28" s="45">
        <v>3</v>
      </c>
      <c r="V28" s="45">
        <v>80</v>
      </c>
      <c r="W28" s="46">
        <f t="shared" si="1"/>
        <v>60.640606906663521</v>
      </c>
      <c r="X28" s="45"/>
      <c r="Y28" s="46"/>
    </row>
    <row r="29" spans="1:28" x14ac:dyDescent="0.25">
      <c r="A29" s="2">
        <v>43654</v>
      </c>
      <c r="B29" s="10">
        <v>786</v>
      </c>
      <c r="C29" s="1">
        <v>27</v>
      </c>
      <c r="D29" s="1">
        <f t="shared" si="2"/>
        <v>75</v>
      </c>
      <c r="E29" s="10">
        <v>65494</v>
      </c>
      <c r="F29" s="10">
        <v>170941</v>
      </c>
      <c r="G29" s="10">
        <v>146168</v>
      </c>
      <c r="H29" s="10">
        <v>105118</v>
      </c>
      <c r="I29" s="1">
        <f t="shared" si="6"/>
        <v>18</v>
      </c>
      <c r="J29" s="1">
        <f t="shared" si="7"/>
        <v>2362</v>
      </c>
      <c r="K29" s="9">
        <f t="shared" si="3"/>
        <v>778.6214318962252</v>
      </c>
      <c r="N29" s="14"/>
      <c r="O29" s="9">
        <f t="shared" si="9"/>
        <v>35</v>
      </c>
      <c r="P29" s="1">
        <v>75</v>
      </c>
      <c r="Q29" s="11">
        <v>5539</v>
      </c>
      <c r="R29" s="1">
        <v>6713</v>
      </c>
      <c r="S29" s="1">
        <v>5794</v>
      </c>
      <c r="T29" s="1">
        <v>7028</v>
      </c>
      <c r="U29" s="1">
        <v>0</v>
      </c>
      <c r="V29" s="1">
        <v>80</v>
      </c>
      <c r="W29" s="9">
        <f t="shared" si="1"/>
        <v>55.477339971726835</v>
      </c>
      <c r="Y29" s="9"/>
    </row>
    <row r="30" spans="1:28" x14ac:dyDescent="0.25">
      <c r="A30" s="2">
        <v>43661</v>
      </c>
      <c r="B30" s="10">
        <v>817</v>
      </c>
      <c r="C30" s="1">
        <v>28</v>
      </c>
      <c r="D30" s="1">
        <f t="shared" si="2"/>
        <v>75</v>
      </c>
      <c r="E30" s="10">
        <v>72864</v>
      </c>
      <c r="F30" s="10">
        <v>175188</v>
      </c>
      <c r="G30" s="10">
        <v>155350</v>
      </c>
      <c r="H30" s="10">
        <v>112390</v>
      </c>
      <c r="I30" s="1">
        <f t="shared" si="6"/>
        <v>18</v>
      </c>
      <c r="J30" s="1">
        <f t="shared" si="7"/>
        <v>2442</v>
      </c>
      <c r="K30" s="9">
        <f t="shared" si="3"/>
        <v>804.24348251099673</v>
      </c>
      <c r="N30" s="14"/>
      <c r="O30" s="9">
        <f t="shared" si="9"/>
        <v>31</v>
      </c>
      <c r="P30" s="1">
        <v>75</v>
      </c>
      <c r="Q30" s="11">
        <v>7370</v>
      </c>
      <c r="R30" s="1">
        <v>4247</v>
      </c>
      <c r="S30" s="1">
        <v>9182</v>
      </c>
      <c r="T30" s="1">
        <v>7272</v>
      </c>
      <c r="U30" s="1">
        <v>0</v>
      </c>
      <c r="V30" s="1">
        <v>80</v>
      </c>
      <c r="W30" s="9">
        <f t="shared" si="1"/>
        <v>31.194914195420715</v>
      </c>
    </row>
    <row r="31" spans="1:28" x14ac:dyDescent="0.25">
      <c r="A31" s="2">
        <v>43668</v>
      </c>
      <c r="B31" s="10">
        <v>840</v>
      </c>
      <c r="C31" s="1">
        <v>29</v>
      </c>
      <c r="D31" s="1">
        <f t="shared" si="2"/>
        <v>75</v>
      </c>
      <c r="E31" s="10">
        <v>79927</v>
      </c>
      <c r="F31" s="10">
        <v>179374</v>
      </c>
      <c r="G31" s="10">
        <v>160045</v>
      </c>
      <c r="H31" s="10">
        <v>126844</v>
      </c>
      <c r="I31" s="1">
        <f t="shared" si="6"/>
        <v>18</v>
      </c>
      <c r="J31" s="1">
        <f t="shared" si="7"/>
        <v>2522</v>
      </c>
      <c r="K31" s="9">
        <f t="shared" si="3"/>
        <v>859.16438495474313</v>
      </c>
      <c r="N31" s="14"/>
      <c r="O31" s="9">
        <f t="shared" si="9"/>
        <v>23</v>
      </c>
      <c r="P31" s="1">
        <v>75</v>
      </c>
      <c r="Q31" s="11">
        <v>7063</v>
      </c>
      <c r="R31" s="1">
        <v>4186</v>
      </c>
      <c r="S31" s="1">
        <v>4695</v>
      </c>
      <c r="T31" s="1">
        <v>14454</v>
      </c>
      <c r="U31" s="1">
        <v>0</v>
      </c>
      <c r="V31" s="1">
        <v>80</v>
      </c>
      <c r="W31" s="9">
        <f t="shared" si="1"/>
        <v>59.898859130379741</v>
      </c>
    </row>
    <row r="32" spans="1:28" s="49" customFormat="1" x14ac:dyDescent="0.25">
      <c r="A32" s="44">
        <v>43675</v>
      </c>
      <c r="B32" s="10">
        <v>887</v>
      </c>
      <c r="C32" s="45">
        <v>30</v>
      </c>
      <c r="D32" s="1">
        <f t="shared" si="2"/>
        <v>75</v>
      </c>
      <c r="E32" s="10">
        <v>86723</v>
      </c>
      <c r="F32" s="10">
        <v>183866</v>
      </c>
      <c r="G32" s="10">
        <v>166866</v>
      </c>
      <c r="H32" s="10">
        <v>132161</v>
      </c>
      <c r="I32" s="45">
        <f t="shared" si="6"/>
        <v>18</v>
      </c>
      <c r="J32" s="1">
        <f t="shared" si="7"/>
        <v>2602</v>
      </c>
      <c r="K32" s="9">
        <f t="shared" si="3"/>
        <v>876.6017313031706</v>
      </c>
      <c r="L32" s="45" t="s">
        <v>63</v>
      </c>
      <c r="M32" s="45"/>
      <c r="N32" s="47"/>
      <c r="O32" s="9">
        <f t="shared" si="9"/>
        <v>47</v>
      </c>
      <c r="P32" s="45">
        <v>75</v>
      </c>
      <c r="Q32" s="48">
        <v>6796</v>
      </c>
      <c r="R32" s="45">
        <v>4492</v>
      </c>
      <c r="S32" s="45">
        <v>6821</v>
      </c>
      <c r="T32" s="45">
        <v>5317</v>
      </c>
      <c r="U32" s="45">
        <v>0</v>
      </c>
      <c r="V32" s="45">
        <v>80</v>
      </c>
      <c r="W32" s="46">
        <f t="shared" si="1"/>
        <v>35.29994505552672</v>
      </c>
      <c r="X32" s="45"/>
      <c r="Y32" s="45"/>
    </row>
    <row r="33" spans="1:25" x14ac:dyDescent="0.25">
      <c r="A33" s="2">
        <v>43682</v>
      </c>
      <c r="B33" s="10">
        <v>893</v>
      </c>
      <c r="C33" s="1">
        <v>31</v>
      </c>
      <c r="D33" s="1">
        <f t="shared" si="2"/>
        <v>75</v>
      </c>
      <c r="E33" s="10">
        <v>93784</v>
      </c>
      <c r="F33" s="10">
        <f>F32+7256</f>
        <v>191122</v>
      </c>
      <c r="G33" s="10">
        <f>G32+6712</f>
        <v>173578</v>
      </c>
      <c r="H33" s="10">
        <v>136934</v>
      </c>
      <c r="I33" s="1">
        <f t="shared" si="6"/>
        <v>18</v>
      </c>
      <c r="J33" s="1">
        <f t="shared" si="7"/>
        <v>2682</v>
      </c>
      <c r="K33" s="9">
        <f t="shared" si="3"/>
        <v>886.69801004531314</v>
      </c>
      <c r="N33" s="14"/>
      <c r="O33" s="9">
        <f t="shared" si="9"/>
        <v>6</v>
      </c>
      <c r="P33" s="1">
        <v>75</v>
      </c>
      <c r="Q33" s="11">
        <v>7061</v>
      </c>
      <c r="R33" s="1">
        <v>7256</v>
      </c>
      <c r="S33" s="1">
        <v>6712</v>
      </c>
      <c r="T33" s="1">
        <v>4773</v>
      </c>
      <c r="U33" s="1">
        <v>0</v>
      </c>
      <c r="V33" s="1">
        <v>80</v>
      </c>
      <c r="W33" s="9">
        <f t="shared" si="1"/>
        <v>58.579898219820222</v>
      </c>
    </row>
    <row r="34" spans="1:25" x14ac:dyDescent="0.25">
      <c r="A34" s="2">
        <v>43689</v>
      </c>
      <c r="B34" s="10">
        <v>910</v>
      </c>
      <c r="C34" s="1">
        <v>32</v>
      </c>
      <c r="D34" s="1">
        <f t="shared" si="2"/>
        <v>140</v>
      </c>
      <c r="E34" s="10">
        <v>100609</v>
      </c>
      <c r="F34" s="10">
        <f>F33+1419</f>
        <v>192541</v>
      </c>
      <c r="G34" s="10">
        <v>177638</v>
      </c>
      <c r="H34" s="10">
        <v>142777</v>
      </c>
      <c r="I34" s="1">
        <f t="shared" si="6"/>
        <v>21</v>
      </c>
      <c r="J34" s="1">
        <f t="shared" si="7"/>
        <v>2762</v>
      </c>
      <c r="K34" s="9">
        <f t="shared" si="3"/>
        <v>921.7012725379052</v>
      </c>
      <c r="N34" s="14"/>
      <c r="O34" s="9">
        <f t="shared" si="9"/>
        <v>17</v>
      </c>
      <c r="P34" s="1">
        <v>140</v>
      </c>
      <c r="Q34" s="11">
        <v>6825</v>
      </c>
      <c r="R34" s="1">
        <v>1419</v>
      </c>
      <c r="S34" s="1">
        <v>4060</v>
      </c>
      <c r="T34" s="1">
        <v>5843</v>
      </c>
      <c r="U34" s="1">
        <v>3</v>
      </c>
      <c r="V34" s="1">
        <v>80</v>
      </c>
      <c r="W34" s="9">
        <f t="shared" si="1"/>
        <v>25.687746605297587</v>
      </c>
    </row>
    <row r="35" spans="1:25" x14ac:dyDescent="0.25">
      <c r="A35" s="2">
        <v>43696</v>
      </c>
      <c r="B35" s="10">
        <v>935</v>
      </c>
      <c r="C35" s="1">
        <v>33</v>
      </c>
      <c r="D35" s="1">
        <f t="shared" si="2"/>
        <v>75</v>
      </c>
      <c r="E35" s="10">
        <v>107640</v>
      </c>
      <c r="F35" s="10">
        <f>F34+2945</f>
        <v>195486</v>
      </c>
      <c r="G35" s="10">
        <v>181220</v>
      </c>
      <c r="H35" s="10">
        <v>148578</v>
      </c>
      <c r="I35" s="1">
        <f t="shared" si="6"/>
        <v>21</v>
      </c>
      <c r="J35" s="1">
        <f t="shared" si="7"/>
        <v>2842</v>
      </c>
      <c r="K35" s="9">
        <f t="shared" si="3"/>
        <v>945.95969276984169</v>
      </c>
      <c r="N35" s="14"/>
      <c r="O35" s="9">
        <f t="shared" si="9"/>
        <v>25</v>
      </c>
      <c r="P35" s="1">
        <v>75</v>
      </c>
      <c r="Q35" s="11">
        <v>7031</v>
      </c>
      <c r="R35" s="1">
        <v>2945</v>
      </c>
      <c r="S35" s="1">
        <v>3582</v>
      </c>
      <c r="T35" s="1">
        <v>5801</v>
      </c>
      <c r="U35" s="1">
        <v>0</v>
      </c>
      <c r="V35" s="1">
        <v>80</v>
      </c>
      <c r="W35" s="9">
        <f t="shared" ref="W35:W59" si="10">$Y$3+$Y$4*P35+$Y$5*Q35+$Y$6*R35+$Y$7*S35+$Y$8*T35+$Y$9*U35</f>
        <v>36.05129619679397</v>
      </c>
    </row>
    <row r="36" spans="1:25" x14ac:dyDescent="0.25">
      <c r="A36" s="2">
        <v>43703</v>
      </c>
      <c r="B36" s="10">
        <v>950</v>
      </c>
      <c r="C36" s="1">
        <v>34</v>
      </c>
      <c r="D36" s="1">
        <f t="shared" si="2"/>
        <v>75</v>
      </c>
      <c r="E36" s="10">
        <v>113881</v>
      </c>
      <c r="F36" s="10">
        <f>F35+1000</f>
        <v>196486</v>
      </c>
      <c r="G36" s="10">
        <v>186308</v>
      </c>
      <c r="H36" s="10">
        <v>157747</v>
      </c>
      <c r="I36" s="1">
        <f t="shared" si="6"/>
        <v>21</v>
      </c>
      <c r="J36" s="1">
        <f t="shared" si="7"/>
        <v>2922</v>
      </c>
      <c r="K36" s="9">
        <f t="shared" si="3"/>
        <v>985.94378621148371</v>
      </c>
      <c r="N36" s="14"/>
      <c r="O36" s="9">
        <f t="shared" si="9"/>
        <v>15</v>
      </c>
      <c r="P36" s="1">
        <v>75</v>
      </c>
      <c r="Q36" s="11">
        <v>6241</v>
      </c>
      <c r="R36" s="1">
        <v>1000</v>
      </c>
      <c r="S36" s="1">
        <v>5088</v>
      </c>
      <c r="T36" s="1">
        <v>9169</v>
      </c>
      <c r="U36" s="1">
        <v>0</v>
      </c>
      <c r="V36" s="1">
        <v>80</v>
      </c>
      <c r="W36" s="9">
        <f t="shared" si="10"/>
        <v>18.019326242536678</v>
      </c>
    </row>
    <row r="37" spans="1:25" s="52" customFormat="1" x14ac:dyDescent="0.25">
      <c r="A37" s="33">
        <v>43710</v>
      </c>
      <c r="B37" s="10">
        <v>987</v>
      </c>
      <c r="C37" s="34">
        <v>35</v>
      </c>
      <c r="D37" s="1">
        <f t="shared" si="2"/>
        <v>60</v>
      </c>
      <c r="E37" s="10">
        <v>120073</v>
      </c>
      <c r="F37" s="10">
        <f>F36+5688</f>
        <v>202174</v>
      </c>
      <c r="G37" s="10">
        <f>G36+3816</f>
        <v>190124</v>
      </c>
      <c r="H37" s="10">
        <v>162452</v>
      </c>
      <c r="I37" s="1">
        <f t="shared" ref="I37:I59" si="11">U37+I36</f>
        <v>21</v>
      </c>
      <c r="J37" s="1">
        <f t="shared" si="7"/>
        <v>3023</v>
      </c>
      <c r="K37" s="9">
        <f t="shared" si="3"/>
        <v>1001.5857151746161</v>
      </c>
      <c r="L37" s="34"/>
      <c r="M37" s="34"/>
      <c r="N37" s="50"/>
      <c r="O37" s="9">
        <f t="shared" si="9"/>
        <v>37</v>
      </c>
      <c r="P37" s="34">
        <f>ROUND((75+116+110)/5,0)</f>
        <v>60</v>
      </c>
      <c r="Q37" s="51">
        <v>6192</v>
      </c>
      <c r="R37" s="34">
        <v>5688</v>
      </c>
      <c r="S37" s="34">
        <v>3816</v>
      </c>
      <c r="T37" s="34">
        <v>4705</v>
      </c>
      <c r="U37" s="34">
        <v>0</v>
      </c>
      <c r="V37" s="34">
        <v>101</v>
      </c>
      <c r="W37" s="35">
        <f t="shared" si="10"/>
        <v>55.972201260394101</v>
      </c>
      <c r="X37" s="34"/>
      <c r="Y37" s="34"/>
    </row>
    <row r="38" spans="1:25" x14ac:dyDescent="0.25">
      <c r="A38" s="2">
        <v>43717</v>
      </c>
      <c r="B38" s="10">
        <v>1011</v>
      </c>
      <c r="C38" s="1">
        <v>36</v>
      </c>
      <c r="D38" s="1">
        <f t="shared" si="2"/>
        <v>60</v>
      </c>
      <c r="E38" s="10">
        <v>125372</v>
      </c>
      <c r="F38" s="10">
        <f>F37+4817</f>
        <v>206991</v>
      </c>
      <c r="G38" s="10">
        <f>G37+7708</f>
        <v>197832</v>
      </c>
      <c r="H38" s="10">
        <v>169269</v>
      </c>
      <c r="I38" s="1">
        <f t="shared" si="11"/>
        <v>21</v>
      </c>
      <c r="J38" s="1">
        <f t="shared" si="7"/>
        <v>3129</v>
      </c>
      <c r="K38" s="9">
        <f t="shared" si="3"/>
        <v>1032.58666360248</v>
      </c>
      <c r="N38" s="14"/>
      <c r="O38" s="9">
        <f t="shared" si="9"/>
        <v>24</v>
      </c>
      <c r="P38" s="10">
        <f t="shared" ref="P38:P41" si="12">ROUND((75+116+110)/5,0)</f>
        <v>60</v>
      </c>
      <c r="Q38" s="11">
        <v>5299</v>
      </c>
      <c r="R38" s="1">
        <v>4817</v>
      </c>
      <c r="S38" s="1">
        <v>7708</v>
      </c>
      <c r="T38" s="1">
        <v>6817</v>
      </c>
      <c r="U38" s="34">
        <v>0</v>
      </c>
      <c r="V38" s="1">
        <v>106</v>
      </c>
      <c r="W38" s="9">
        <f t="shared" si="10"/>
        <v>35.329163613260732</v>
      </c>
    </row>
    <row r="39" spans="1:25" x14ac:dyDescent="0.25">
      <c r="A39" s="2">
        <v>43724</v>
      </c>
      <c r="B39" s="10">
        <v>1042</v>
      </c>
      <c r="C39" s="1">
        <v>37</v>
      </c>
      <c r="D39" s="1">
        <f t="shared" si="2"/>
        <v>60</v>
      </c>
      <c r="E39" s="10">
        <v>131866</v>
      </c>
      <c r="F39" s="10">
        <f>F38+5041</f>
        <v>212032</v>
      </c>
      <c r="G39" s="10">
        <f>G38+9982</f>
        <v>207814</v>
      </c>
      <c r="H39" s="10">
        <v>174621</v>
      </c>
      <c r="I39" s="1">
        <f t="shared" si="11"/>
        <v>21</v>
      </c>
      <c r="J39" s="1">
        <f t="shared" si="7"/>
        <v>3209</v>
      </c>
      <c r="K39" s="9">
        <f t="shared" si="3"/>
        <v>1052.7058033938174</v>
      </c>
      <c r="N39" s="14"/>
      <c r="O39" s="9">
        <f t="shared" si="9"/>
        <v>31</v>
      </c>
      <c r="P39" s="10">
        <f t="shared" si="12"/>
        <v>60</v>
      </c>
      <c r="Q39" s="11">
        <v>6494</v>
      </c>
      <c r="R39" s="1">
        <v>5041</v>
      </c>
      <c r="S39" s="1">
        <v>9982</v>
      </c>
      <c r="T39" s="1">
        <v>5352</v>
      </c>
      <c r="U39" s="34">
        <v>0</v>
      </c>
      <c r="V39" s="1">
        <v>80</v>
      </c>
      <c r="W39" s="9">
        <f t="shared" si="10"/>
        <v>31.152986108581963</v>
      </c>
    </row>
    <row r="40" spans="1:25" x14ac:dyDescent="0.25">
      <c r="A40" s="2">
        <v>43731</v>
      </c>
      <c r="B40" s="10">
        <v>1069</v>
      </c>
      <c r="C40" s="1">
        <v>38</v>
      </c>
      <c r="D40" s="1">
        <f t="shared" si="2"/>
        <v>60</v>
      </c>
      <c r="E40" s="10">
        <v>139785</v>
      </c>
      <c r="F40" s="10">
        <f>F39+4912</f>
        <v>216944</v>
      </c>
      <c r="G40" s="10">
        <f>G39+4104</f>
        <v>211918</v>
      </c>
      <c r="H40" s="10">
        <v>178876</v>
      </c>
      <c r="I40" s="1">
        <f t="shared" si="11"/>
        <v>22</v>
      </c>
      <c r="J40" s="1">
        <f t="shared" si="7"/>
        <v>3294</v>
      </c>
      <c r="K40" s="9">
        <f t="shared" si="3"/>
        <v>1065.2083023456216</v>
      </c>
      <c r="N40" s="14"/>
      <c r="O40" s="9">
        <f t="shared" si="9"/>
        <v>27</v>
      </c>
      <c r="P40" s="10">
        <f t="shared" si="12"/>
        <v>60</v>
      </c>
      <c r="Q40" s="11">
        <v>7919</v>
      </c>
      <c r="R40" s="1">
        <v>4912</v>
      </c>
      <c r="S40" s="1">
        <v>4104</v>
      </c>
      <c r="T40" s="1">
        <v>4255</v>
      </c>
      <c r="U40" s="34">
        <v>1</v>
      </c>
      <c r="V40" s="1">
        <v>85</v>
      </c>
      <c r="W40" s="9">
        <f t="shared" si="10"/>
        <v>62.019770086562033</v>
      </c>
    </row>
    <row r="41" spans="1:25" x14ac:dyDescent="0.25">
      <c r="A41" s="2">
        <v>43738</v>
      </c>
      <c r="B41" s="10">
        <v>1098</v>
      </c>
      <c r="C41" s="1">
        <v>39</v>
      </c>
      <c r="D41" s="1">
        <f t="shared" si="2"/>
        <v>60</v>
      </c>
      <c r="E41" s="10">
        <v>146594</v>
      </c>
      <c r="F41" s="10">
        <f>F40+4889</f>
        <v>221833</v>
      </c>
      <c r="G41" s="10">
        <v>216736</v>
      </c>
      <c r="H41" s="10">
        <v>183056</v>
      </c>
      <c r="I41" s="1">
        <f t="shared" si="11"/>
        <v>22</v>
      </c>
      <c r="J41" s="1">
        <f t="shared" si="7"/>
        <v>3401</v>
      </c>
      <c r="K41" s="9">
        <f t="shared" si="3"/>
        <v>1076.9672070869944</v>
      </c>
      <c r="N41" s="14"/>
      <c r="O41" s="9">
        <f t="shared" si="9"/>
        <v>29</v>
      </c>
      <c r="P41" s="10">
        <f t="shared" si="12"/>
        <v>60</v>
      </c>
      <c r="Q41" s="51">
        <v>6809</v>
      </c>
      <c r="R41" s="1">
        <v>4889</v>
      </c>
      <c r="S41" s="1">
        <v>4818</v>
      </c>
      <c r="T41" s="34">
        <v>4180</v>
      </c>
      <c r="U41" s="34">
        <v>0</v>
      </c>
      <c r="V41" s="1">
        <v>107</v>
      </c>
      <c r="W41" s="9">
        <f t="shared" si="10"/>
        <v>47.330750007918226</v>
      </c>
    </row>
    <row r="42" spans="1:25" x14ac:dyDescent="0.25">
      <c r="A42" s="2">
        <v>43745</v>
      </c>
      <c r="B42" s="10">
        <v>1131</v>
      </c>
      <c r="C42" s="1">
        <v>40</v>
      </c>
      <c r="D42" s="1">
        <f t="shared" si="2"/>
        <v>76</v>
      </c>
      <c r="E42" s="10">
        <v>152917</v>
      </c>
      <c r="F42" s="10">
        <f>F41+5337</f>
        <v>227170</v>
      </c>
      <c r="G42" s="10">
        <f>G41+5677</f>
        <v>222413</v>
      </c>
      <c r="H42" s="10">
        <v>187531</v>
      </c>
      <c r="I42" s="1">
        <f t="shared" si="11"/>
        <v>23</v>
      </c>
      <c r="J42" s="1">
        <f t="shared" si="7"/>
        <v>3553</v>
      </c>
      <c r="K42" s="9">
        <f t="shared" si="3"/>
        <v>1098.6401426680782</v>
      </c>
      <c r="N42" s="14"/>
      <c r="O42" s="9">
        <f t="shared" si="9"/>
        <v>33</v>
      </c>
      <c r="P42" s="10">
        <f>ROUND((96+92+114)/4,0)</f>
        <v>76</v>
      </c>
      <c r="Q42" s="11">
        <v>6323</v>
      </c>
      <c r="R42" s="1">
        <v>5337</v>
      </c>
      <c r="S42" s="34">
        <v>5677</v>
      </c>
      <c r="T42" s="1">
        <v>4475</v>
      </c>
      <c r="U42" s="34">
        <v>1</v>
      </c>
      <c r="V42" s="1">
        <v>152</v>
      </c>
      <c r="W42" s="9">
        <f t="shared" si="10"/>
        <v>49.533379273159028</v>
      </c>
    </row>
    <row r="43" spans="1:25" x14ac:dyDescent="0.25">
      <c r="A43" s="2">
        <v>43752</v>
      </c>
      <c r="B43" s="10">
        <v>1164</v>
      </c>
      <c r="C43" s="1">
        <v>41</v>
      </c>
      <c r="D43" s="1">
        <f t="shared" si="2"/>
        <v>76</v>
      </c>
      <c r="E43" s="10">
        <v>158948</v>
      </c>
      <c r="F43" s="10">
        <f>F42+5783</f>
        <v>232953</v>
      </c>
      <c r="G43" s="10">
        <f>G42+5027</f>
        <v>227440</v>
      </c>
      <c r="H43" s="10">
        <v>194762</v>
      </c>
      <c r="I43" s="1">
        <f t="shared" si="11"/>
        <v>23</v>
      </c>
      <c r="J43" s="1">
        <f t="shared" si="7"/>
        <v>3665</v>
      </c>
      <c r="K43" s="9">
        <f t="shared" si="3"/>
        <v>1125.7018237949849</v>
      </c>
      <c r="N43" s="14"/>
      <c r="O43" s="9">
        <f t="shared" si="9"/>
        <v>33</v>
      </c>
      <c r="P43" s="10">
        <f t="shared" ref="P43:P45" si="13">ROUND((96+92+114)/4,0)</f>
        <v>76</v>
      </c>
      <c r="Q43" s="11">
        <v>6031</v>
      </c>
      <c r="R43" s="1">
        <v>5783</v>
      </c>
      <c r="S43" s="1">
        <v>5027</v>
      </c>
      <c r="T43" s="1">
        <v>7231</v>
      </c>
      <c r="U43" s="1">
        <v>0</v>
      </c>
      <c r="V43" s="1">
        <v>112</v>
      </c>
      <c r="W43" s="9">
        <f t="shared" si="10"/>
        <v>52.760199384419622</v>
      </c>
    </row>
    <row r="44" spans="1:25" x14ac:dyDescent="0.25">
      <c r="A44" s="2">
        <v>43759</v>
      </c>
      <c r="B44" s="10">
        <v>1190</v>
      </c>
      <c r="C44" s="1">
        <v>42</v>
      </c>
      <c r="D44" s="1">
        <f t="shared" si="2"/>
        <v>76</v>
      </c>
      <c r="E44" s="10">
        <v>164262</v>
      </c>
      <c r="F44" s="10">
        <f>F43+5817</f>
        <v>238770</v>
      </c>
      <c r="G44" s="10">
        <f>G43+3402</f>
        <v>230842</v>
      </c>
      <c r="H44" s="10">
        <v>202165</v>
      </c>
      <c r="I44" s="1">
        <f t="shared" si="11"/>
        <v>24</v>
      </c>
      <c r="J44" s="1">
        <f t="shared" si="7"/>
        <v>3763</v>
      </c>
      <c r="K44" s="9">
        <f t="shared" si="3"/>
        <v>1160.6980142074121</v>
      </c>
      <c r="N44" s="14"/>
      <c r="O44" s="9">
        <f t="shared" si="9"/>
        <v>26</v>
      </c>
      <c r="P44" s="10">
        <f t="shared" si="13"/>
        <v>76</v>
      </c>
      <c r="Q44" s="11">
        <v>5314</v>
      </c>
      <c r="R44" s="1">
        <v>5817</v>
      </c>
      <c r="S44" s="1">
        <v>3402</v>
      </c>
      <c r="T44" s="1">
        <v>7403</v>
      </c>
      <c r="U44" s="1">
        <v>1</v>
      </c>
      <c r="V44" s="1">
        <v>98</v>
      </c>
      <c r="W44" s="9">
        <f t="shared" si="10"/>
        <v>63.26953272333752</v>
      </c>
    </row>
    <row r="45" spans="1:25" x14ac:dyDescent="0.25">
      <c r="A45" s="2">
        <v>43766</v>
      </c>
      <c r="B45" s="10">
        <v>1208</v>
      </c>
      <c r="C45" s="1">
        <v>43</v>
      </c>
      <c r="D45" s="1">
        <f t="shared" si="2"/>
        <v>76</v>
      </c>
      <c r="E45" s="10">
        <v>169762</v>
      </c>
      <c r="F45" s="10">
        <v>238770</v>
      </c>
      <c r="G45" s="10">
        <f>G44+1523</f>
        <v>232365</v>
      </c>
      <c r="H45" s="10">
        <v>202798</v>
      </c>
      <c r="I45" s="1">
        <f t="shared" si="11"/>
        <v>27</v>
      </c>
      <c r="J45" s="1">
        <f t="shared" si="7"/>
        <v>3850</v>
      </c>
      <c r="K45" s="9">
        <f t="shared" si="3"/>
        <v>1184.5172823614203</v>
      </c>
      <c r="N45" s="14"/>
      <c r="O45" s="9">
        <f t="shared" si="9"/>
        <v>18</v>
      </c>
      <c r="P45" s="10">
        <f t="shared" si="13"/>
        <v>76</v>
      </c>
      <c r="Q45" s="51">
        <v>5500</v>
      </c>
      <c r="R45" s="1">
        <v>0</v>
      </c>
      <c r="S45" s="1">
        <v>1523</v>
      </c>
      <c r="T45" s="34">
        <v>633</v>
      </c>
      <c r="U45" s="1">
        <v>3</v>
      </c>
      <c r="V45" s="1">
        <v>87</v>
      </c>
      <c r="W45" s="9">
        <f t="shared" si="10"/>
        <v>23.223889443702976</v>
      </c>
    </row>
    <row r="46" spans="1:25" x14ac:dyDescent="0.25">
      <c r="A46" s="2">
        <v>43773</v>
      </c>
      <c r="B46" s="10">
        <v>1233</v>
      </c>
      <c r="C46" s="1">
        <v>44</v>
      </c>
      <c r="D46" s="1">
        <f t="shared" si="2"/>
        <v>73</v>
      </c>
      <c r="E46" s="10">
        <v>176115</v>
      </c>
      <c r="F46" s="10">
        <v>249406</v>
      </c>
      <c r="G46" s="10">
        <f>G45+10196</f>
        <v>242561</v>
      </c>
      <c r="H46" s="10">
        <v>213177</v>
      </c>
      <c r="I46" s="1">
        <f t="shared" si="11"/>
        <v>27</v>
      </c>
      <c r="J46" s="1">
        <f t="shared" si="7"/>
        <v>3963</v>
      </c>
      <c r="K46" s="9">
        <f t="shared" si="3"/>
        <v>1220.9219013664238</v>
      </c>
      <c r="N46" s="14"/>
      <c r="O46" s="9">
        <f t="shared" si="9"/>
        <v>25</v>
      </c>
      <c r="P46" s="10">
        <f>ROUND((72+104+114)/4,0)</f>
        <v>73</v>
      </c>
      <c r="Q46" s="11">
        <v>6353</v>
      </c>
      <c r="R46" s="1">
        <v>10636</v>
      </c>
      <c r="S46" s="1">
        <v>10196</v>
      </c>
      <c r="T46" s="1">
        <v>10379</v>
      </c>
      <c r="U46" s="1">
        <v>0</v>
      </c>
      <c r="V46" s="1">
        <v>113</v>
      </c>
      <c r="W46" s="9">
        <f t="shared" si="10"/>
        <v>82.890117537019222</v>
      </c>
    </row>
    <row r="47" spans="1:25" x14ac:dyDescent="0.25">
      <c r="A47" s="2">
        <v>43780</v>
      </c>
      <c r="B47" s="10">
        <v>1254</v>
      </c>
      <c r="C47" s="1">
        <v>45</v>
      </c>
      <c r="D47" s="1">
        <f t="shared" si="2"/>
        <v>73</v>
      </c>
      <c r="E47" s="10">
        <v>183791</v>
      </c>
      <c r="F47" s="10">
        <f>F46+5184</f>
        <v>254590</v>
      </c>
      <c r="G47" s="10">
        <f>G46+5776</f>
        <v>248337</v>
      </c>
      <c r="H47" s="10">
        <v>217996</v>
      </c>
      <c r="I47" s="1">
        <f t="shared" si="11"/>
        <v>27</v>
      </c>
      <c r="J47" s="1">
        <f t="shared" si="7"/>
        <v>4060</v>
      </c>
      <c r="K47" s="9">
        <f t="shared" si="3"/>
        <v>1231.887674125582</v>
      </c>
      <c r="N47" s="14"/>
      <c r="O47" s="9">
        <f t="shared" si="9"/>
        <v>21</v>
      </c>
      <c r="P47" s="10">
        <f t="shared" ref="P47:P49" si="14">ROUND((72+104+114)/4,0)</f>
        <v>73</v>
      </c>
      <c r="Q47" s="11">
        <v>7676</v>
      </c>
      <c r="R47" s="1">
        <v>5184</v>
      </c>
      <c r="S47" s="34">
        <v>5776</v>
      </c>
      <c r="T47" s="1">
        <v>4819</v>
      </c>
      <c r="U47" s="1">
        <v>0</v>
      </c>
      <c r="V47" s="1">
        <v>97</v>
      </c>
      <c r="W47" s="9">
        <f t="shared" si="10"/>
        <v>47.987407819243423</v>
      </c>
    </row>
    <row r="48" spans="1:25" x14ac:dyDescent="0.25">
      <c r="A48" s="2">
        <v>43787</v>
      </c>
      <c r="B48" s="10">
        <v>1282</v>
      </c>
      <c r="C48" s="1">
        <v>46</v>
      </c>
      <c r="D48" s="1">
        <f t="shared" si="2"/>
        <v>73</v>
      </c>
      <c r="E48" s="10">
        <v>190956</v>
      </c>
      <c r="F48" s="10">
        <f>F47+4586</f>
        <v>259176</v>
      </c>
      <c r="G48" s="10">
        <f>G47+5807</f>
        <v>254144</v>
      </c>
      <c r="H48" s="10">
        <v>223702</v>
      </c>
      <c r="I48" s="1">
        <f t="shared" si="11"/>
        <v>27</v>
      </c>
      <c r="J48" s="1">
        <f t="shared" si="7"/>
        <v>4149</v>
      </c>
      <c r="K48" s="9">
        <f t="shared" si="3"/>
        <v>1249.1672675974721</v>
      </c>
      <c r="N48" s="14"/>
      <c r="O48" s="9">
        <f t="shared" si="9"/>
        <v>28</v>
      </c>
      <c r="P48" s="10">
        <f t="shared" si="14"/>
        <v>73</v>
      </c>
      <c r="Q48" s="11">
        <v>7165</v>
      </c>
      <c r="R48" s="1">
        <v>4586</v>
      </c>
      <c r="S48" s="1">
        <v>5807</v>
      </c>
      <c r="T48" s="1">
        <v>5706</v>
      </c>
      <c r="U48" s="1">
        <v>0</v>
      </c>
      <c r="V48" s="1">
        <v>89</v>
      </c>
      <c r="W48" s="9">
        <f t="shared" si="10"/>
        <v>42.555640480656521</v>
      </c>
    </row>
    <row r="49" spans="1:23" x14ac:dyDescent="0.25">
      <c r="A49" s="2">
        <v>43794</v>
      </c>
      <c r="B49" s="10">
        <v>1313</v>
      </c>
      <c r="C49" s="1">
        <v>47</v>
      </c>
      <c r="D49" s="1">
        <f t="shared" si="2"/>
        <v>73</v>
      </c>
      <c r="E49" s="10">
        <v>197438</v>
      </c>
      <c r="F49" s="10">
        <f>F48+2358</f>
        <v>261534</v>
      </c>
      <c r="G49" s="10">
        <f>G48+5743</f>
        <v>259887</v>
      </c>
      <c r="H49" s="10">
        <v>228729</v>
      </c>
      <c r="I49" s="1">
        <f t="shared" si="11"/>
        <v>28</v>
      </c>
      <c r="J49" s="1">
        <f t="shared" si="7"/>
        <v>4201</v>
      </c>
      <c r="K49" s="9">
        <f t="shared" si="3"/>
        <v>1273.7852912459985</v>
      </c>
      <c r="N49" s="14"/>
      <c r="O49" s="9">
        <f t="shared" si="9"/>
        <v>31</v>
      </c>
      <c r="P49" s="10">
        <f t="shared" si="14"/>
        <v>73</v>
      </c>
      <c r="Q49" s="51">
        <v>6482</v>
      </c>
      <c r="R49" s="1">
        <v>2358</v>
      </c>
      <c r="S49" s="1">
        <v>5743</v>
      </c>
      <c r="T49" s="34">
        <v>5027</v>
      </c>
      <c r="U49" s="1">
        <v>1</v>
      </c>
      <c r="V49" s="1">
        <v>52</v>
      </c>
      <c r="W49" s="9">
        <f t="shared" si="10"/>
        <v>27.200975253001115</v>
      </c>
    </row>
    <row r="50" spans="1:23" x14ac:dyDescent="0.25">
      <c r="A50" s="2">
        <v>43801</v>
      </c>
      <c r="B50" s="10">
        <v>1329</v>
      </c>
      <c r="C50" s="1">
        <v>48</v>
      </c>
      <c r="D50" s="1">
        <f t="shared" si="2"/>
        <v>46</v>
      </c>
      <c r="E50" s="10">
        <v>200784</v>
      </c>
      <c r="F50" s="10">
        <f>F49+5596</f>
        <v>267130</v>
      </c>
      <c r="G50" s="10">
        <f>G49+3644</f>
        <v>263531</v>
      </c>
      <c r="H50" s="10">
        <v>233351</v>
      </c>
      <c r="I50" s="1">
        <f t="shared" si="11"/>
        <v>31</v>
      </c>
      <c r="J50" s="1">
        <f t="shared" si="7"/>
        <v>4293</v>
      </c>
      <c r="K50" s="9">
        <f t="shared" si="3"/>
        <v>1319.289591682425</v>
      </c>
      <c r="N50" s="14"/>
      <c r="O50" s="9">
        <f t="shared" si="9"/>
        <v>16</v>
      </c>
      <c r="P50" s="10">
        <f>ROUND((56+78+97)/5,0)</f>
        <v>46</v>
      </c>
      <c r="Q50" s="11">
        <v>3346</v>
      </c>
      <c r="R50" s="1">
        <v>5596</v>
      </c>
      <c r="S50" s="1">
        <v>3644</v>
      </c>
      <c r="T50" s="1">
        <v>4622</v>
      </c>
      <c r="U50" s="1">
        <v>3</v>
      </c>
      <c r="V50" s="1">
        <v>92</v>
      </c>
      <c r="W50" s="9">
        <f t="shared" si="10"/>
        <v>68.500571156887645</v>
      </c>
    </row>
    <row r="51" spans="1:23" x14ac:dyDescent="0.25">
      <c r="A51" s="2">
        <v>43808</v>
      </c>
      <c r="B51" s="10">
        <v>1342</v>
      </c>
      <c r="C51" s="1">
        <v>49</v>
      </c>
      <c r="D51" s="1">
        <f t="shared" si="2"/>
        <v>46</v>
      </c>
      <c r="E51" s="10">
        <v>207385</v>
      </c>
      <c r="F51" s="10">
        <f>F50+5841</f>
        <v>272971</v>
      </c>
      <c r="G51" s="10">
        <f>G50+5175</f>
        <v>268706</v>
      </c>
      <c r="H51" s="10">
        <v>238177</v>
      </c>
      <c r="I51" s="1">
        <f t="shared" si="11"/>
        <v>31</v>
      </c>
      <c r="J51" s="1">
        <f t="shared" si="7"/>
        <v>4355</v>
      </c>
      <c r="K51" s="9">
        <f t="shared" si="3"/>
        <v>1331.539325349019</v>
      </c>
      <c r="N51" s="14"/>
      <c r="O51" s="9">
        <f t="shared" si="9"/>
        <v>13</v>
      </c>
      <c r="P51" s="10">
        <f t="shared" ref="P51:P54" si="15">ROUND((56+78+97)/5,0)</f>
        <v>46</v>
      </c>
      <c r="Q51" s="11">
        <v>6601</v>
      </c>
      <c r="R51" s="1">
        <v>5841</v>
      </c>
      <c r="S51" s="1">
        <v>5175</v>
      </c>
      <c r="T51" s="1">
        <v>4826</v>
      </c>
      <c r="U51" s="1">
        <v>0</v>
      </c>
      <c r="V51" s="1">
        <v>62</v>
      </c>
      <c r="W51" s="9">
        <f t="shared" si="10"/>
        <v>57.916464074078576</v>
      </c>
    </row>
    <row r="52" spans="1:23" x14ac:dyDescent="0.25">
      <c r="A52" s="2">
        <v>43815</v>
      </c>
      <c r="B52" s="10">
        <v>1367</v>
      </c>
      <c r="C52" s="1">
        <v>50</v>
      </c>
      <c r="D52" s="1">
        <f t="shared" si="2"/>
        <v>46</v>
      </c>
      <c r="E52" s="10">
        <v>213440</v>
      </c>
      <c r="F52" s="10">
        <f>F51+5230</f>
        <v>278201</v>
      </c>
      <c r="G52" s="10">
        <v>274523</v>
      </c>
      <c r="H52" s="10">
        <v>243967</v>
      </c>
      <c r="I52" s="1">
        <f t="shared" si="11"/>
        <v>31</v>
      </c>
      <c r="J52" s="1">
        <f t="shared" si="7"/>
        <v>4426</v>
      </c>
      <c r="K52" s="9">
        <f t="shared" si="3"/>
        <v>1351.7606556562223</v>
      </c>
      <c r="N52" s="14"/>
      <c r="O52" s="9">
        <f t="shared" si="9"/>
        <v>25</v>
      </c>
      <c r="P52" s="10">
        <f t="shared" si="15"/>
        <v>46</v>
      </c>
      <c r="Q52" s="11">
        <v>6055</v>
      </c>
      <c r="R52" s="1">
        <v>5230</v>
      </c>
      <c r="S52" s="34">
        <v>5817</v>
      </c>
      <c r="T52" s="1">
        <v>5790</v>
      </c>
      <c r="U52" s="1">
        <v>0</v>
      </c>
      <c r="V52" s="1">
        <v>71</v>
      </c>
      <c r="W52" s="9">
        <f t="shared" si="10"/>
        <v>50.199641488798648</v>
      </c>
    </row>
    <row r="53" spans="1:23" x14ac:dyDescent="0.25">
      <c r="A53" s="2">
        <v>43822</v>
      </c>
      <c r="B53" s="10">
        <v>1380</v>
      </c>
      <c r="C53" s="1">
        <v>51</v>
      </c>
      <c r="D53" s="1">
        <f t="shared" si="2"/>
        <v>46</v>
      </c>
      <c r="E53" s="10">
        <v>219029</v>
      </c>
      <c r="F53" s="10">
        <f>F52+4145</f>
        <v>282346</v>
      </c>
      <c r="G53" s="10">
        <v>276876</v>
      </c>
      <c r="H53" s="10">
        <v>249733</v>
      </c>
      <c r="I53" s="1">
        <f t="shared" si="11"/>
        <v>31</v>
      </c>
      <c r="J53" s="1">
        <f t="shared" si="7"/>
        <v>4484</v>
      </c>
      <c r="K53" s="9">
        <f t="shared" si="3"/>
        <v>1372.279967838118</v>
      </c>
      <c r="N53" s="14"/>
      <c r="O53" s="9">
        <f t="shared" si="9"/>
        <v>13</v>
      </c>
      <c r="P53" s="10">
        <f t="shared" si="15"/>
        <v>46</v>
      </c>
      <c r="Q53" s="51">
        <v>5589</v>
      </c>
      <c r="R53" s="1">
        <v>4145</v>
      </c>
      <c r="S53" s="1">
        <v>2353</v>
      </c>
      <c r="T53" s="34">
        <v>5766</v>
      </c>
      <c r="U53" s="1">
        <v>0</v>
      </c>
      <c r="V53" s="1">
        <v>58</v>
      </c>
      <c r="W53" s="9">
        <f t="shared" si="10"/>
        <v>51.591066583692964</v>
      </c>
    </row>
    <row r="54" spans="1:23" x14ac:dyDescent="0.25">
      <c r="A54" s="2">
        <v>43829</v>
      </c>
      <c r="B54" s="10">
        <v>1392</v>
      </c>
      <c r="C54" s="1">
        <v>52</v>
      </c>
      <c r="D54" s="1">
        <f t="shared" si="2"/>
        <v>46</v>
      </c>
      <c r="E54" s="10">
        <v>222553</v>
      </c>
      <c r="F54" s="10">
        <f>F53+5474</f>
        <v>287820</v>
      </c>
      <c r="G54" s="10">
        <v>282472</v>
      </c>
      <c r="H54" s="10">
        <v>255513</v>
      </c>
      <c r="I54" s="1">
        <f t="shared" si="11"/>
        <v>31</v>
      </c>
      <c r="J54" s="1">
        <f t="shared" si="7"/>
        <v>4539</v>
      </c>
      <c r="K54" s="9">
        <f t="shared" si="3"/>
        <v>1401.0132307388017</v>
      </c>
      <c r="N54" s="14"/>
      <c r="O54" s="9">
        <f t="shared" si="9"/>
        <v>12</v>
      </c>
      <c r="P54" s="10">
        <f t="shared" si="15"/>
        <v>46</v>
      </c>
      <c r="Q54" s="11">
        <v>3524</v>
      </c>
      <c r="R54" s="1">
        <v>5474</v>
      </c>
      <c r="S54" s="1">
        <f>R50</f>
        <v>5596</v>
      </c>
      <c r="T54" s="1">
        <v>5780</v>
      </c>
      <c r="U54" s="1">
        <v>0</v>
      </c>
      <c r="V54" s="1">
        <v>55</v>
      </c>
      <c r="W54" s="9">
        <f t="shared" si="10"/>
        <v>42.28889072642324</v>
      </c>
    </row>
    <row r="55" spans="1:23" x14ac:dyDescent="0.25">
      <c r="A55" s="2">
        <v>43836</v>
      </c>
      <c r="B55" s="10">
        <v>1402</v>
      </c>
      <c r="C55" s="1">
        <v>53</v>
      </c>
      <c r="D55" s="1">
        <f t="shared" si="2"/>
        <v>67</v>
      </c>
      <c r="E55" s="10">
        <v>226951</v>
      </c>
      <c r="F55" s="10">
        <f>F54+5574</f>
        <v>293394</v>
      </c>
      <c r="G55" s="10">
        <v>288307</v>
      </c>
      <c r="H55" s="10">
        <v>261260</v>
      </c>
      <c r="I55" s="1">
        <f t="shared" si="11"/>
        <v>31</v>
      </c>
      <c r="J55" s="1">
        <f t="shared" si="7"/>
        <v>4625</v>
      </c>
      <c r="K55" s="9">
        <f t="shared" si="3"/>
        <v>1425.811603437347</v>
      </c>
      <c r="N55" s="14"/>
      <c r="O55" s="9">
        <f t="shared" si="9"/>
        <v>10</v>
      </c>
      <c r="P55" s="1">
        <f>ROUND(AVERAGE($P$3:$P$54),0)</f>
        <v>67</v>
      </c>
      <c r="Q55" s="11">
        <v>4398</v>
      </c>
      <c r="R55" s="1">
        <v>5574</v>
      </c>
      <c r="S55" s="1">
        <v>5835</v>
      </c>
      <c r="T55" s="1">
        <v>5747</v>
      </c>
      <c r="U55" s="1">
        <v>0</v>
      </c>
      <c r="V55" s="1">
        <v>86</v>
      </c>
      <c r="W55" s="9">
        <f t="shared" si="10"/>
        <v>40.542332861839043</v>
      </c>
    </row>
    <row r="56" spans="1:23" x14ac:dyDescent="0.25">
      <c r="A56" s="2">
        <v>43843</v>
      </c>
      <c r="B56" s="10">
        <v>1420</v>
      </c>
      <c r="C56" s="1">
        <v>54</v>
      </c>
      <c r="D56" s="1">
        <f t="shared" si="2"/>
        <v>67</v>
      </c>
      <c r="E56" s="10">
        <v>232929</v>
      </c>
      <c r="F56" s="10">
        <v>298894</v>
      </c>
      <c r="G56" s="10">
        <f>G55+5230</f>
        <v>293537</v>
      </c>
      <c r="H56" s="10">
        <v>266145</v>
      </c>
      <c r="I56" s="1">
        <f t="shared" si="11"/>
        <v>31</v>
      </c>
      <c r="J56" s="1">
        <f t="shared" si="7"/>
        <v>4748</v>
      </c>
      <c r="K56" s="9">
        <f t="shared" si="3"/>
        <v>1443.9567410524783</v>
      </c>
      <c r="N56" s="14"/>
      <c r="O56" s="9">
        <f t="shared" si="9"/>
        <v>18</v>
      </c>
      <c r="P56" s="1">
        <f t="shared" ref="P56:P59" si="16">ROUND(AVERAGE($P$3:$P$54),0)</f>
        <v>67</v>
      </c>
      <c r="Q56" s="11">
        <v>5978</v>
      </c>
      <c r="R56" s="1">
        <v>5500</v>
      </c>
      <c r="S56" s="1">
        <f>R52</f>
        <v>5230</v>
      </c>
      <c r="T56" s="1">
        <v>4885</v>
      </c>
      <c r="U56" s="1">
        <v>0</v>
      </c>
      <c r="V56" s="1">
        <v>123</v>
      </c>
      <c r="W56" s="9">
        <f t="shared" si="10"/>
        <v>47.03656581473404</v>
      </c>
    </row>
    <row r="57" spans="1:23" x14ac:dyDescent="0.25">
      <c r="A57" s="2">
        <v>43850</v>
      </c>
      <c r="B57" s="10">
        <v>1442</v>
      </c>
      <c r="C57" s="1">
        <v>55</v>
      </c>
      <c r="D57" s="1">
        <f t="shared" si="2"/>
        <v>67</v>
      </c>
      <c r="E57" s="10">
        <v>237485</v>
      </c>
      <c r="F57" s="10">
        <f>F56+5878</f>
        <v>304772</v>
      </c>
      <c r="G57" s="10">
        <v>299045</v>
      </c>
      <c r="H57" s="10">
        <v>271359</v>
      </c>
      <c r="I57" s="1">
        <f t="shared" si="11"/>
        <v>32</v>
      </c>
      <c r="J57" s="1">
        <f t="shared" si="7"/>
        <v>4860</v>
      </c>
      <c r="K57" s="9">
        <f t="shared" si="3"/>
        <v>1474.3714840868756</v>
      </c>
      <c r="N57" s="14"/>
      <c r="O57" s="9">
        <f t="shared" si="9"/>
        <v>22</v>
      </c>
      <c r="P57" s="1">
        <f t="shared" si="16"/>
        <v>67</v>
      </c>
      <c r="Q57" s="51">
        <v>4556</v>
      </c>
      <c r="R57" s="1">
        <v>5878</v>
      </c>
      <c r="S57" s="34">
        <v>5508</v>
      </c>
      <c r="T57" s="34">
        <v>5214</v>
      </c>
      <c r="U57" s="1">
        <v>1</v>
      </c>
      <c r="V57" s="1">
        <v>112</v>
      </c>
      <c r="W57" s="9">
        <f t="shared" si="10"/>
        <v>50.923454985623806</v>
      </c>
    </row>
    <row r="58" spans="1:23" x14ac:dyDescent="0.25">
      <c r="A58" s="2">
        <v>43857</v>
      </c>
      <c r="B58" s="10">
        <v>1454</v>
      </c>
      <c r="C58" s="1">
        <v>56</v>
      </c>
      <c r="D58" s="1">
        <f t="shared" si="2"/>
        <v>67</v>
      </c>
      <c r="E58" s="10">
        <v>243191</v>
      </c>
      <c r="F58" s="10">
        <f>F57+5432</f>
        <v>310204</v>
      </c>
      <c r="G58" s="10">
        <f>G57+5467</f>
        <v>304512</v>
      </c>
      <c r="H58" s="10">
        <v>275928</v>
      </c>
      <c r="I58" s="1">
        <f t="shared" si="11"/>
        <v>32</v>
      </c>
      <c r="J58" s="1">
        <f t="shared" si="7"/>
        <v>5022</v>
      </c>
      <c r="K58" s="9">
        <f t="shared" si="3"/>
        <v>1494.1939821638252</v>
      </c>
      <c r="N58" s="14"/>
      <c r="O58" s="9">
        <f t="shared" si="9"/>
        <v>12</v>
      </c>
      <c r="P58" s="1">
        <f t="shared" si="16"/>
        <v>67</v>
      </c>
      <c r="Q58" s="11">
        <v>5706</v>
      </c>
      <c r="R58" s="1">
        <v>5432</v>
      </c>
      <c r="S58" s="1">
        <v>5467</v>
      </c>
      <c r="T58" s="1">
        <v>4569</v>
      </c>
      <c r="U58" s="1">
        <v>0</v>
      </c>
      <c r="V58" s="1">
        <v>162</v>
      </c>
      <c r="W58" s="9">
        <f t="shared" si="10"/>
        <v>43.840448378854759</v>
      </c>
    </row>
    <row r="59" spans="1:23" x14ac:dyDescent="0.25">
      <c r="A59" s="2">
        <v>43864</v>
      </c>
      <c r="B59" s="10">
        <v>1481</v>
      </c>
      <c r="C59" s="1">
        <v>57</v>
      </c>
      <c r="D59" s="1">
        <f t="shared" si="2"/>
        <v>67</v>
      </c>
      <c r="E59" s="10">
        <v>249244</v>
      </c>
      <c r="F59" s="10">
        <v>317315</v>
      </c>
      <c r="G59" s="10">
        <v>310078</v>
      </c>
      <c r="H59" s="10">
        <v>278299</v>
      </c>
      <c r="I59" s="1">
        <f t="shared" si="11"/>
        <v>34</v>
      </c>
      <c r="J59" s="1">
        <f t="shared" si="7"/>
        <v>5417</v>
      </c>
      <c r="K59" s="9">
        <f t="shared" si="3"/>
        <v>1523.6565462572692</v>
      </c>
      <c r="N59" s="14"/>
      <c r="O59" s="9">
        <f t="shared" si="9"/>
        <v>27</v>
      </c>
      <c r="P59" s="1">
        <f t="shared" si="16"/>
        <v>67</v>
      </c>
      <c r="Q59" s="11">
        <v>6053</v>
      </c>
      <c r="R59" s="1">
        <v>7111</v>
      </c>
      <c r="S59" s="1">
        <v>5566</v>
      </c>
      <c r="T59" s="1">
        <v>2371</v>
      </c>
      <c r="U59" s="1">
        <v>2</v>
      </c>
      <c r="V59" s="1">
        <v>395</v>
      </c>
      <c r="W59" s="9">
        <f t="shared" si="10"/>
        <v>68.621738729388198</v>
      </c>
    </row>
    <row r="60" spans="1:23" x14ac:dyDescent="0.25">
      <c r="A60" s="2">
        <v>43871</v>
      </c>
      <c r="C60" s="1">
        <v>58</v>
      </c>
      <c r="D60" s="1">
        <f t="shared" si="2"/>
        <v>0</v>
      </c>
      <c r="N60" s="14"/>
      <c r="O60" s="9"/>
      <c r="U60" s="1">
        <v>0</v>
      </c>
      <c r="W60" s="9"/>
    </row>
    <row r="61" spans="1:23" x14ac:dyDescent="0.25">
      <c r="A61" s="2">
        <v>43878</v>
      </c>
      <c r="C61" s="1">
        <v>59</v>
      </c>
      <c r="D61" s="1">
        <f t="shared" si="2"/>
        <v>0</v>
      </c>
      <c r="N61" s="14"/>
      <c r="U61" s="1">
        <v>1</v>
      </c>
      <c r="W61" s="9"/>
    </row>
    <row r="62" spans="1:23" x14ac:dyDescent="0.25">
      <c r="A62" s="2">
        <v>43885</v>
      </c>
      <c r="C62" s="1">
        <v>60</v>
      </c>
      <c r="D62" s="1">
        <f t="shared" si="2"/>
        <v>0</v>
      </c>
      <c r="N62" s="14"/>
      <c r="W62" s="9"/>
    </row>
    <row r="63" spans="1:23" x14ac:dyDescent="0.25">
      <c r="A63" s="2">
        <v>43892</v>
      </c>
      <c r="C63" s="1">
        <v>61</v>
      </c>
      <c r="D63" s="1">
        <f t="shared" si="2"/>
        <v>0</v>
      </c>
      <c r="N63" s="14"/>
      <c r="W63" s="9"/>
    </row>
    <row r="64" spans="1:23" x14ac:dyDescent="0.25">
      <c r="A64" s="2">
        <v>43899</v>
      </c>
      <c r="C64" s="1">
        <v>62</v>
      </c>
      <c r="D64" s="1">
        <f t="shared" si="2"/>
        <v>0</v>
      </c>
      <c r="N64" s="14"/>
      <c r="W64" s="9"/>
    </row>
    <row r="65" spans="1:23" x14ac:dyDescent="0.25">
      <c r="A65" s="2">
        <v>43906</v>
      </c>
      <c r="C65" s="1">
        <v>63</v>
      </c>
      <c r="D65" s="1">
        <f t="shared" si="2"/>
        <v>0</v>
      </c>
      <c r="N65" s="14"/>
      <c r="W65" s="9"/>
    </row>
    <row r="66" spans="1:23" x14ac:dyDescent="0.25">
      <c r="A66" s="2">
        <v>43913</v>
      </c>
      <c r="C66" s="1">
        <v>64</v>
      </c>
      <c r="D66" s="1">
        <f t="shared" si="2"/>
        <v>0</v>
      </c>
      <c r="N66" s="14"/>
      <c r="W66" s="9"/>
    </row>
    <row r="67" spans="1:23" x14ac:dyDescent="0.25">
      <c r="A67" s="2">
        <v>43920</v>
      </c>
      <c r="C67" s="1">
        <v>65</v>
      </c>
      <c r="D67" s="1">
        <f t="shared" si="2"/>
        <v>0</v>
      </c>
      <c r="N67" s="14"/>
      <c r="W67" s="9"/>
    </row>
    <row r="68" spans="1:23" x14ac:dyDescent="0.25">
      <c r="A68" s="2">
        <v>43927</v>
      </c>
      <c r="C68" s="1">
        <v>66</v>
      </c>
      <c r="D68" s="1">
        <f t="shared" ref="D68:D102" si="17">P68</f>
        <v>0</v>
      </c>
      <c r="N68" s="14"/>
      <c r="W68" s="9"/>
    </row>
    <row r="69" spans="1:23" x14ac:dyDescent="0.25">
      <c r="A69" s="2">
        <v>43934</v>
      </c>
      <c r="C69" s="1">
        <v>67</v>
      </c>
      <c r="D69" s="1">
        <f t="shared" si="17"/>
        <v>0</v>
      </c>
      <c r="N69" s="14"/>
      <c r="W69" s="9"/>
    </row>
    <row r="70" spans="1:23" x14ac:dyDescent="0.25">
      <c r="A70" s="2">
        <v>43941</v>
      </c>
      <c r="C70" s="1">
        <v>68</v>
      </c>
      <c r="D70" s="1">
        <f t="shared" si="17"/>
        <v>0</v>
      </c>
      <c r="N70" s="14"/>
    </row>
    <row r="71" spans="1:23" x14ac:dyDescent="0.25">
      <c r="A71" s="2">
        <v>43948</v>
      </c>
      <c r="C71" s="1">
        <v>69</v>
      </c>
      <c r="D71" s="1">
        <f t="shared" si="17"/>
        <v>0</v>
      </c>
      <c r="N71" s="14"/>
    </row>
    <row r="72" spans="1:23" x14ac:dyDescent="0.25">
      <c r="A72" s="2">
        <v>43955</v>
      </c>
      <c r="C72" s="1">
        <v>70</v>
      </c>
      <c r="D72" s="1">
        <f t="shared" si="17"/>
        <v>0</v>
      </c>
      <c r="N72" s="14"/>
    </row>
    <row r="73" spans="1:23" x14ac:dyDescent="0.25">
      <c r="A73" s="2">
        <v>43962</v>
      </c>
      <c r="C73" s="1">
        <v>71</v>
      </c>
      <c r="D73" s="1">
        <f t="shared" si="17"/>
        <v>0</v>
      </c>
      <c r="N73" s="14"/>
    </row>
    <row r="74" spans="1:23" x14ac:dyDescent="0.25">
      <c r="A74" s="2">
        <v>43969</v>
      </c>
      <c r="C74" s="1">
        <v>72</v>
      </c>
      <c r="D74" s="1">
        <f t="shared" si="17"/>
        <v>0</v>
      </c>
      <c r="N74" s="14"/>
    </row>
    <row r="75" spans="1:23" x14ac:dyDescent="0.25">
      <c r="A75" s="2">
        <v>43976</v>
      </c>
      <c r="C75" s="1">
        <v>73</v>
      </c>
      <c r="D75" s="1">
        <f t="shared" si="17"/>
        <v>0</v>
      </c>
      <c r="N75" s="14"/>
    </row>
    <row r="76" spans="1:23" x14ac:dyDescent="0.25">
      <c r="A76" s="2">
        <v>43983</v>
      </c>
      <c r="C76" s="1">
        <v>74</v>
      </c>
      <c r="D76" s="1">
        <f t="shared" si="17"/>
        <v>0</v>
      </c>
      <c r="N76" s="14"/>
    </row>
    <row r="77" spans="1:23" x14ac:dyDescent="0.25">
      <c r="A77" s="2">
        <v>43990</v>
      </c>
      <c r="C77" s="1">
        <v>75</v>
      </c>
      <c r="D77" s="1">
        <f t="shared" si="17"/>
        <v>0</v>
      </c>
      <c r="N77" s="14"/>
    </row>
    <row r="78" spans="1:23" x14ac:dyDescent="0.25">
      <c r="A78" s="2">
        <v>43997</v>
      </c>
      <c r="C78" s="1">
        <v>76</v>
      </c>
      <c r="D78" s="1">
        <f t="shared" si="17"/>
        <v>0</v>
      </c>
      <c r="N78" s="14"/>
    </row>
    <row r="79" spans="1:23" x14ac:dyDescent="0.25">
      <c r="A79" s="2">
        <v>44004</v>
      </c>
      <c r="C79" s="1">
        <v>77</v>
      </c>
      <c r="D79" s="1">
        <f t="shared" si="17"/>
        <v>0</v>
      </c>
      <c r="N79" s="14"/>
    </row>
    <row r="80" spans="1:23" x14ac:dyDescent="0.25">
      <c r="A80" s="2">
        <v>44011</v>
      </c>
      <c r="C80" s="1">
        <v>78</v>
      </c>
      <c r="D80" s="1">
        <f t="shared" si="17"/>
        <v>0</v>
      </c>
      <c r="N80" s="14"/>
    </row>
    <row r="81" spans="1:14" x14ac:dyDescent="0.25">
      <c r="A81" s="2">
        <v>44018</v>
      </c>
      <c r="C81" s="1">
        <v>79</v>
      </c>
      <c r="D81" s="1">
        <f t="shared" si="17"/>
        <v>0</v>
      </c>
      <c r="N81" s="14"/>
    </row>
    <row r="82" spans="1:14" x14ac:dyDescent="0.25">
      <c r="A82" s="2">
        <v>44025</v>
      </c>
      <c r="C82" s="1">
        <v>80</v>
      </c>
      <c r="D82" s="1">
        <f t="shared" si="17"/>
        <v>0</v>
      </c>
      <c r="N82" s="14"/>
    </row>
    <row r="83" spans="1:14" x14ac:dyDescent="0.25">
      <c r="A83" s="2">
        <v>44032</v>
      </c>
      <c r="C83" s="1">
        <v>81</v>
      </c>
      <c r="D83" s="1">
        <f t="shared" si="17"/>
        <v>0</v>
      </c>
      <c r="N83" s="14"/>
    </row>
    <row r="84" spans="1:14" x14ac:dyDescent="0.25">
      <c r="A84" s="2">
        <v>44039</v>
      </c>
      <c r="C84" s="1">
        <v>82</v>
      </c>
      <c r="D84" s="1">
        <f t="shared" si="17"/>
        <v>0</v>
      </c>
      <c r="N84" s="14"/>
    </row>
    <row r="85" spans="1:14" x14ac:dyDescent="0.25">
      <c r="A85" s="2">
        <v>44046</v>
      </c>
      <c r="C85" s="1">
        <v>83</v>
      </c>
      <c r="D85" s="1">
        <f t="shared" si="17"/>
        <v>0</v>
      </c>
      <c r="N85" s="14"/>
    </row>
    <row r="86" spans="1:14" x14ac:dyDescent="0.25">
      <c r="A86" s="2">
        <v>44053</v>
      </c>
      <c r="C86" s="1">
        <v>84</v>
      </c>
      <c r="D86" s="1">
        <f t="shared" si="17"/>
        <v>0</v>
      </c>
      <c r="N86" s="14"/>
    </row>
    <row r="87" spans="1:14" x14ac:dyDescent="0.25">
      <c r="A87" s="2">
        <v>44060</v>
      </c>
      <c r="C87" s="1">
        <v>85</v>
      </c>
      <c r="D87" s="1">
        <f t="shared" si="17"/>
        <v>0</v>
      </c>
      <c r="N87" s="14"/>
    </row>
    <row r="88" spans="1:14" x14ac:dyDescent="0.25">
      <c r="A88" s="2">
        <v>44067</v>
      </c>
      <c r="C88" s="1">
        <v>86</v>
      </c>
      <c r="D88" s="1">
        <f t="shared" si="17"/>
        <v>0</v>
      </c>
      <c r="N88" s="14"/>
    </row>
    <row r="89" spans="1:14" x14ac:dyDescent="0.25">
      <c r="A89" s="2">
        <v>44074</v>
      </c>
      <c r="C89" s="1">
        <v>87</v>
      </c>
      <c r="D89" s="1">
        <f t="shared" si="17"/>
        <v>0</v>
      </c>
      <c r="N89" s="14"/>
    </row>
    <row r="90" spans="1:14" x14ac:dyDescent="0.25">
      <c r="A90" s="2">
        <v>44081</v>
      </c>
      <c r="C90" s="1">
        <v>88</v>
      </c>
      <c r="D90" s="1">
        <f t="shared" si="17"/>
        <v>0</v>
      </c>
      <c r="N90" s="14"/>
    </row>
    <row r="91" spans="1:14" x14ac:dyDescent="0.25">
      <c r="A91" s="2">
        <v>44088</v>
      </c>
      <c r="C91" s="1">
        <v>89</v>
      </c>
      <c r="D91" s="1">
        <f t="shared" si="17"/>
        <v>0</v>
      </c>
      <c r="N91" s="14"/>
    </row>
    <row r="92" spans="1:14" x14ac:dyDescent="0.25">
      <c r="A92" s="2">
        <v>44095</v>
      </c>
      <c r="C92" s="1">
        <v>90</v>
      </c>
      <c r="D92" s="1">
        <f t="shared" si="17"/>
        <v>0</v>
      </c>
      <c r="N92" s="14"/>
    </row>
    <row r="93" spans="1:14" x14ac:dyDescent="0.25">
      <c r="A93" s="2">
        <v>44102</v>
      </c>
      <c r="C93" s="1">
        <v>91</v>
      </c>
      <c r="D93" s="1">
        <f t="shared" si="17"/>
        <v>0</v>
      </c>
      <c r="N93" s="14"/>
    </row>
    <row r="94" spans="1:14" x14ac:dyDescent="0.25">
      <c r="A94" s="2">
        <v>44109</v>
      </c>
      <c r="C94" s="1">
        <v>92</v>
      </c>
      <c r="D94" s="1">
        <f t="shared" si="17"/>
        <v>0</v>
      </c>
      <c r="N94" s="14"/>
    </row>
    <row r="95" spans="1:14" x14ac:dyDescent="0.25">
      <c r="A95" s="2">
        <v>44116</v>
      </c>
      <c r="C95" s="1">
        <v>93</v>
      </c>
      <c r="D95" s="1">
        <f t="shared" si="17"/>
        <v>0</v>
      </c>
      <c r="N95" s="14"/>
    </row>
    <row r="96" spans="1:14" x14ac:dyDescent="0.25">
      <c r="A96" s="2">
        <v>44123</v>
      </c>
      <c r="C96" s="1">
        <v>94</v>
      </c>
      <c r="D96" s="1">
        <f t="shared" si="17"/>
        <v>0</v>
      </c>
      <c r="N96" s="14"/>
    </row>
    <row r="97" spans="1:14" x14ac:dyDescent="0.25">
      <c r="A97" s="2">
        <v>44130</v>
      </c>
      <c r="C97" s="1">
        <v>95</v>
      </c>
      <c r="D97" s="1">
        <f t="shared" si="17"/>
        <v>0</v>
      </c>
      <c r="N97" s="14"/>
    </row>
    <row r="98" spans="1:14" x14ac:dyDescent="0.25">
      <c r="A98" s="2">
        <v>44137</v>
      </c>
      <c r="C98" s="1">
        <v>96</v>
      </c>
      <c r="D98" s="1">
        <f t="shared" si="17"/>
        <v>0</v>
      </c>
      <c r="N98" s="14"/>
    </row>
    <row r="99" spans="1:14" x14ac:dyDescent="0.25">
      <c r="A99" s="2">
        <v>44144</v>
      </c>
      <c r="C99" s="1">
        <v>97</v>
      </c>
      <c r="D99" s="1">
        <f t="shared" si="17"/>
        <v>0</v>
      </c>
      <c r="N99" s="14"/>
    </row>
    <row r="100" spans="1:14" x14ac:dyDescent="0.25">
      <c r="A100" s="2">
        <v>44151</v>
      </c>
      <c r="C100" s="1">
        <v>98</v>
      </c>
      <c r="D100" s="1">
        <f t="shared" si="17"/>
        <v>0</v>
      </c>
      <c r="N100" s="14"/>
    </row>
    <row r="101" spans="1:14" x14ac:dyDescent="0.25">
      <c r="A101" s="2">
        <v>44158</v>
      </c>
      <c r="C101" s="1">
        <v>99</v>
      </c>
      <c r="D101" s="1">
        <f t="shared" si="17"/>
        <v>0</v>
      </c>
      <c r="N101" s="14"/>
    </row>
    <row r="102" spans="1:14" ht="15.75" thickBot="1" x14ac:dyDescent="0.3">
      <c r="A102" s="2">
        <v>44165</v>
      </c>
      <c r="C102" s="1">
        <v>100</v>
      </c>
      <c r="D102" s="1">
        <f t="shared" si="17"/>
        <v>0</v>
      </c>
      <c r="N102" s="15"/>
    </row>
  </sheetData>
  <mergeCells count="4">
    <mergeCell ref="D1:I1"/>
    <mergeCell ref="O1:X1"/>
    <mergeCell ref="L2:M2"/>
    <mergeCell ref="X2:Y2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4C78D391902F4584A293FB54744E8A" ma:contentTypeVersion="52" ma:contentTypeDescription="" ma:contentTypeScope="" ma:versionID="1f03fd9bdaf5eb271a5dfd2a0b45bf1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2020-01-06T08:00:00+00:00</OpenedDate>
    <SignificantOrder xmlns="dc463f71-b30c-4ab2-9473-d307f9d35888">false</SignificantOrder>
    <Date1 xmlns="dc463f71-b30c-4ab2-9473-d307f9d35888">2020-03-04T08:00:00+00:00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200013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6B93A6-F128-4A8F-9C71-31B90695DCCA}"/>
</file>

<file path=customXml/itemProps2.xml><?xml version="1.0" encoding="utf-8"?>
<ds:datastoreItem xmlns:ds="http://schemas.openxmlformats.org/officeDocument/2006/customXml" ds:itemID="{AB88C9B0-3CAB-4271-8714-A88C07C961B5}"/>
</file>

<file path=customXml/itemProps3.xml><?xml version="1.0" encoding="utf-8"?>
<ds:datastoreItem xmlns:ds="http://schemas.openxmlformats.org/officeDocument/2006/customXml" ds:itemID="{655AC2DC-7A99-43F6-8F7A-93740B2CAA70}"/>
</file>

<file path=customXml/itemProps4.xml><?xml version="1.0" encoding="utf-8"?>
<ds:datastoreItem xmlns:ds="http://schemas.openxmlformats.org/officeDocument/2006/customXml" ds:itemID="{7F564BCA-1778-45EB-8101-23B8A4999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Cumulative</vt:lpstr>
      <vt:lpstr>By Week</vt:lpstr>
      <vt:lpstr>Cumulative.</vt:lpstr>
      <vt:lpstr>By Week.</vt:lpstr>
      <vt:lpstr>Cumulative.New</vt:lpstr>
      <vt:lpstr>June24_Coefs</vt:lpstr>
      <vt:lpstr>July8_Coefs</vt:lpstr>
      <vt:lpstr>Feb10_Coefs_Cum</vt:lpstr>
      <vt:lpstr>Data</vt:lpstr>
      <vt:lpstr>Queries</vt:lpstr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Dan</dc:creator>
  <cp:lastModifiedBy>Gervais, Linda</cp:lastModifiedBy>
  <dcterms:created xsi:type="dcterms:W3CDTF">2019-04-23T21:28:23Z</dcterms:created>
  <dcterms:modified xsi:type="dcterms:W3CDTF">2020-03-03T22:37:36Z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c6f2ed35bb944a0e8b98774f39546552</vt:lpwstr>
  </property>
  <property fmtid="{D5CDD505-2E9C-101B-9397-08002B2CF9AE}" pid="3" name="ContentTypeId">
    <vt:lpwstr>0x0101006E56B4D1795A2E4DB2F0B01679ED314A008A4C78D391902F4584A293FB54744E8A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