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xr:revisionPtr revIDLastSave="0" documentId="13_ncr:1_{F810657C-DAEB-4665-9844-325419952011}" xr6:coauthVersionLast="41" xr6:coauthVersionMax="41" xr10:uidLastSave="{00000000-0000-0000-0000-000000000000}"/>
  <bookViews>
    <workbookView xWindow="-120" yWindow="-120" windowWidth="29040" windowHeight="15840" activeTab="2" xr2:uid="{9770AE98-713E-4F48-8CBC-6879C2D944F4}"/>
  </bookViews>
  <sheets>
    <sheet name="WA Rates" sheetId="10" r:id="rId1"/>
    <sheet name="Core Cost Incurred" sheetId="13" r:id="rId2"/>
    <sheet name="DEFERRALS" sheetId="14" r:id="rId3"/>
  </sheets>
  <externalReferences>
    <externalReference r:id="rId4"/>
    <externalReference r:id="rId5"/>
    <externalReference r:id="rId6"/>
    <externalReference r:id="rId7"/>
  </externalReferences>
  <definedNames>
    <definedName name="FERCINT13">'[4]FERC Interest Rates'!$A$10:$C$21</definedName>
    <definedName name="FERCINT14">'[4]FERC Interest Rates'!$A$22:$C$33</definedName>
    <definedName name="FERCINT15">'[4]FERC Interest Rates'!$A$34:$C$45</definedName>
    <definedName name="FERCINT16">'[4]FERC Interest Rates'!$A$46:$C$57</definedName>
    <definedName name="FERCINT17">'[4]FERC Interest Rates'!$A$58:$C$69</definedName>
    <definedName name="FERCINT18">'[4]FERC Interest Rates'!$A$70:$C$81</definedName>
    <definedName name="FERCINT19">'[4]FERC Interest Rates'!$A$82:$C$93</definedName>
    <definedName name="_xlnm.Print_Area" localSheetId="1">'Core Cost Incurred'!$B$1:$Z$48</definedName>
    <definedName name="_xlnm.Print_Area" localSheetId="2">DEFERRALS!$B$1:$H$22</definedName>
    <definedName name="_xlnm.Print_Area" localSheetId="0">'WA Rates'!$B$1:$N$51</definedName>
    <definedName name="_xlnm.Print_Titles" localSheetId="1">'Core Cost Incurred'!$B:$F</definedName>
    <definedName name="_xlnm.Print_Titles" localSheetId="0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4" l="1"/>
  <c r="D8" i="14"/>
  <c r="E8" i="14"/>
  <c r="G8" i="14"/>
  <c r="D9" i="14"/>
  <c r="E9" i="14"/>
  <c r="E12" i="14" s="1"/>
  <c r="F9" i="14"/>
  <c r="G9" i="14"/>
  <c r="G12" i="14" s="1"/>
  <c r="G11" i="14"/>
  <c r="D12" i="14"/>
  <c r="F12" i="14"/>
  <c r="D18" i="14"/>
  <c r="E18" i="14"/>
  <c r="F18" i="14"/>
  <c r="G18" i="14"/>
  <c r="V71" i="13" l="1"/>
  <c r="S71" i="13"/>
  <c r="T61" i="13"/>
  <c r="S61" i="13"/>
  <c r="Q61" i="13"/>
  <c r="P61" i="13"/>
  <c r="Q60" i="13"/>
  <c r="P60" i="13"/>
  <c r="T59" i="13"/>
  <c r="T62" i="13" s="1"/>
  <c r="S59" i="13"/>
  <c r="Q59" i="13"/>
  <c r="Q62" i="13" s="1"/>
  <c r="P59" i="13"/>
  <c r="AE45" i="13"/>
  <c r="AC43" i="13"/>
  <c r="AB43" i="13"/>
  <c r="Z43" i="13"/>
  <c r="W43" i="13"/>
  <c r="AC42" i="13"/>
  <c r="AC44" i="13" s="1"/>
  <c r="AB42" i="13"/>
  <c r="AB44" i="13" s="1"/>
  <c r="Z42" i="13"/>
  <c r="Z44" i="13" s="1"/>
  <c r="W42" i="13"/>
  <c r="W44" i="13" s="1"/>
  <c r="Q47" i="13" s="1"/>
  <c r="T42" i="13"/>
  <c r="AC38" i="13"/>
  <c r="AC40" i="13" s="1"/>
  <c r="AB38" i="13"/>
  <c r="AB40" i="13" s="1"/>
  <c r="Z38" i="13"/>
  <c r="Z40" i="13" s="1"/>
  <c r="W38" i="13"/>
  <c r="T38" i="13"/>
  <c r="Q38" i="13"/>
  <c r="N37" i="13"/>
  <c r="K37" i="13"/>
  <c r="H37" i="13" s="1"/>
  <c r="N36" i="13"/>
  <c r="H36" i="13" s="1"/>
  <c r="K36" i="13"/>
  <c r="N35" i="13"/>
  <c r="K35" i="13"/>
  <c r="H35" i="13" s="1"/>
  <c r="N34" i="13"/>
  <c r="H34" i="13" s="1"/>
  <c r="K34" i="13"/>
  <c r="N33" i="13"/>
  <c r="K33" i="13"/>
  <c r="H33" i="13" s="1"/>
  <c r="N32" i="13"/>
  <c r="H32" i="13" s="1"/>
  <c r="K32" i="13"/>
  <c r="N31" i="13"/>
  <c r="K31" i="13"/>
  <c r="H31" i="13" s="1"/>
  <c r="N30" i="13"/>
  <c r="H30" i="13" s="1"/>
  <c r="K30" i="13"/>
  <c r="N29" i="13"/>
  <c r="K29" i="13"/>
  <c r="H29" i="13" s="1"/>
  <c r="N28" i="13"/>
  <c r="H28" i="13" s="1"/>
  <c r="K28" i="13"/>
  <c r="N27" i="13"/>
  <c r="K27" i="13"/>
  <c r="H27" i="13" s="1"/>
  <c r="N26" i="13"/>
  <c r="H26" i="13" s="1"/>
  <c r="K26" i="13"/>
  <c r="N25" i="13"/>
  <c r="K25" i="13"/>
  <c r="H25" i="13" s="1"/>
  <c r="N24" i="13"/>
  <c r="H24" i="13" s="1"/>
  <c r="H38" i="13" s="1"/>
  <c r="K24" i="13"/>
  <c r="K38" i="13" s="1"/>
  <c r="AC22" i="13"/>
  <c r="AB22" i="13"/>
  <c r="Z22" i="13"/>
  <c r="W22" i="13"/>
  <c r="W40" i="13" s="1"/>
  <c r="Q22" i="13"/>
  <c r="T21" i="13"/>
  <c r="Q21" i="13"/>
  <c r="Q43" i="13" s="1"/>
  <c r="N21" i="13"/>
  <c r="N20" i="13"/>
  <c r="K20" i="13"/>
  <c r="H20" i="13" s="1"/>
  <c r="N19" i="13"/>
  <c r="K19" i="13"/>
  <c r="H19" i="13"/>
  <c r="N18" i="13"/>
  <c r="K18" i="13"/>
  <c r="H18" i="13" s="1"/>
  <c r="T17" i="13"/>
  <c r="T43" i="13" s="1"/>
  <c r="Q17" i="13"/>
  <c r="K17" i="13"/>
  <c r="AC15" i="13"/>
  <c r="AB15" i="13"/>
  <c r="Z15" i="13"/>
  <c r="Y15" i="13"/>
  <c r="Y40" i="13" s="1"/>
  <c r="W15" i="13"/>
  <c r="V15" i="13"/>
  <c r="V40" i="13" s="1"/>
  <c r="T15" i="13"/>
  <c r="N14" i="13"/>
  <c r="M14" i="13"/>
  <c r="K14" i="13"/>
  <c r="H14" i="13" s="1"/>
  <c r="J14" i="13"/>
  <c r="G14" i="13" s="1"/>
  <c r="N13" i="13"/>
  <c r="M13" i="13"/>
  <c r="K13" i="13"/>
  <c r="J13" i="13"/>
  <c r="G13" i="13" s="1"/>
  <c r="H13" i="13"/>
  <c r="N12" i="13"/>
  <c r="M12" i="13"/>
  <c r="K12" i="13"/>
  <c r="H12" i="13" s="1"/>
  <c r="J12" i="13"/>
  <c r="G12" i="13" s="1"/>
  <c r="N11" i="13"/>
  <c r="H11" i="13" s="1"/>
  <c r="M11" i="13"/>
  <c r="K11" i="13"/>
  <c r="J11" i="13"/>
  <c r="G11" i="13"/>
  <c r="T10" i="13"/>
  <c r="S10" i="13"/>
  <c r="M10" i="13" s="1"/>
  <c r="Q10" i="13"/>
  <c r="K10" i="13" s="1"/>
  <c r="H10" i="13" s="1"/>
  <c r="P10" i="13"/>
  <c r="P15" i="13" s="1"/>
  <c r="P40" i="13" s="1"/>
  <c r="N10" i="13"/>
  <c r="J10" i="13"/>
  <c r="N9" i="13"/>
  <c r="K9" i="13"/>
  <c r="H9" i="13" s="1"/>
  <c r="Q8" i="13"/>
  <c r="Q42" i="13" s="1"/>
  <c r="N8" i="13"/>
  <c r="N42" i="13" s="1"/>
  <c r="M8" i="13"/>
  <c r="M15" i="13" s="1"/>
  <c r="M40" i="13" s="1"/>
  <c r="J8" i="13"/>
  <c r="J15" i="13" s="1"/>
  <c r="J40" i="13" s="1"/>
  <c r="N7" i="13"/>
  <c r="K7" i="13"/>
  <c r="H7" i="13" s="1"/>
  <c r="N6" i="13"/>
  <c r="N15" i="13" s="1"/>
  <c r="K6" i="13"/>
  <c r="W3" i="13"/>
  <c r="W1" i="13"/>
  <c r="G48" i="10"/>
  <c r="L45" i="10"/>
  <c r="K45" i="10"/>
  <c r="N45" i="10" s="1"/>
  <c r="I45" i="10"/>
  <c r="H45" i="10"/>
  <c r="G45" i="10"/>
  <c r="G47" i="10" s="1"/>
  <c r="L43" i="10"/>
  <c r="K43" i="10"/>
  <c r="I43" i="10"/>
  <c r="H43" i="10"/>
  <c r="L42" i="10"/>
  <c r="K42" i="10"/>
  <c r="J42" i="10"/>
  <c r="M42" i="10" s="1"/>
  <c r="I42" i="10"/>
  <c r="H42" i="10"/>
  <c r="K41" i="10"/>
  <c r="I41" i="10"/>
  <c r="L41" i="10" s="1"/>
  <c r="H41" i="10"/>
  <c r="J40" i="10"/>
  <c r="M40" i="10" s="1"/>
  <c r="I40" i="10"/>
  <c r="L40" i="10" s="1"/>
  <c r="H40" i="10"/>
  <c r="K40" i="10" s="1"/>
  <c r="I39" i="10"/>
  <c r="L39" i="10" s="1"/>
  <c r="H39" i="10"/>
  <c r="K39" i="10" s="1"/>
  <c r="I38" i="10"/>
  <c r="L38" i="10" s="1"/>
  <c r="H38" i="10"/>
  <c r="K38" i="10" s="1"/>
  <c r="I36" i="10"/>
  <c r="L36" i="10" s="1"/>
  <c r="H36" i="10"/>
  <c r="K36" i="10" s="1"/>
  <c r="I35" i="10"/>
  <c r="L35" i="10" s="1"/>
  <c r="H35" i="10"/>
  <c r="K35" i="10" s="1"/>
  <c r="L34" i="10"/>
  <c r="H34" i="10"/>
  <c r="K34" i="10" s="1"/>
  <c r="L32" i="10"/>
  <c r="K32" i="10"/>
  <c r="J32" i="10"/>
  <c r="M32" i="10" s="1"/>
  <c r="I32" i="10"/>
  <c r="H32" i="10"/>
  <c r="K31" i="10"/>
  <c r="I31" i="10"/>
  <c r="L31" i="10" s="1"/>
  <c r="H31" i="10"/>
  <c r="J30" i="10"/>
  <c r="M30" i="10" s="1"/>
  <c r="I30" i="10"/>
  <c r="L30" i="10" s="1"/>
  <c r="H30" i="10"/>
  <c r="K30" i="10" s="1"/>
  <c r="N30" i="10" s="1"/>
  <c r="I28" i="10"/>
  <c r="L28" i="10" s="1"/>
  <c r="H28" i="10"/>
  <c r="K28" i="10" s="1"/>
  <c r="I27" i="10"/>
  <c r="L27" i="10" s="1"/>
  <c r="H27" i="10"/>
  <c r="K27" i="10" s="1"/>
  <c r="I26" i="10"/>
  <c r="L26" i="10" s="1"/>
  <c r="H26" i="10"/>
  <c r="K26" i="10" s="1"/>
  <c r="L24" i="10"/>
  <c r="I24" i="10"/>
  <c r="H24" i="10"/>
  <c r="K24" i="10" s="1"/>
  <c r="L23" i="10"/>
  <c r="K23" i="10"/>
  <c r="I23" i="10"/>
  <c r="H23" i="10"/>
  <c r="L22" i="10"/>
  <c r="K22" i="10"/>
  <c r="J22" i="10"/>
  <c r="M22" i="10" s="1"/>
  <c r="I22" i="10"/>
  <c r="H22" i="10"/>
  <c r="K21" i="10"/>
  <c r="I21" i="10"/>
  <c r="L21" i="10" s="1"/>
  <c r="H21" i="10"/>
  <c r="J20" i="10"/>
  <c r="M20" i="10" s="1"/>
  <c r="I20" i="10"/>
  <c r="L20" i="10" s="1"/>
  <c r="H20" i="10"/>
  <c r="K20" i="10" s="1"/>
  <c r="N20" i="10" s="1"/>
  <c r="U19" i="10"/>
  <c r="R19" i="10"/>
  <c r="K19" i="10"/>
  <c r="I19" i="10"/>
  <c r="L19" i="10" s="1"/>
  <c r="H19" i="10"/>
  <c r="U18" i="10"/>
  <c r="L18" i="10"/>
  <c r="K18" i="10"/>
  <c r="H18" i="10"/>
  <c r="I16" i="10"/>
  <c r="L16" i="10" s="1"/>
  <c r="H16" i="10"/>
  <c r="K16" i="10" s="1"/>
  <c r="N16" i="10" s="1"/>
  <c r="U15" i="10"/>
  <c r="R15" i="10"/>
  <c r="I15" i="10"/>
  <c r="L15" i="10" s="1"/>
  <c r="H15" i="10"/>
  <c r="K15" i="10" s="1"/>
  <c r="N15" i="10" s="1"/>
  <c r="L14" i="10"/>
  <c r="H14" i="10"/>
  <c r="K14" i="10" s="1"/>
  <c r="L12" i="10"/>
  <c r="N12" i="10" s="1"/>
  <c r="K12" i="10"/>
  <c r="J12" i="10"/>
  <c r="I12" i="10"/>
  <c r="H12" i="10"/>
  <c r="J11" i="10"/>
  <c r="I11" i="10"/>
  <c r="L11" i="10" s="1"/>
  <c r="H11" i="10"/>
  <c r="K11" i="10" s="1"/>
  <c r="N11" i="10" s="1"/>
  <c r="L10" i="10"/>
  <c r="K10" i="10"/>
  <c r="J10" i="10"/>
  <c r="J45" i="10" s="1"/>
  <c r="M45" i="10" s="1"/>
  <c r="U9" i="10"/>
  <c r="T9" i="10"/>
  <c r="R9" i="10"/>
  <c r="Q9" i="10"/>
  <c r="M9" i="10"/>
  <c r="L9" i="10"/>
  <c r="K9" i="10"/>
  <c r="N9" i="10" s="1"/>
  <c r="J8" i="10"/>
  <c r="I8" i="10"/>
  <c r="R7" i="10"/>
  <c r="F3" i="10"/>
  <c r="G49" i="10" l="1"/>
  <c r="G72" i="10" s="1"/>
  <c r="T44" i="13"/>
  <c r="T46" i="13" s="1"/>
  <c r="T48" i="13" s="1"/>
  <c r="Q44" i="13"/>
  <c r="Q46" i="13" s="1"/>
  <c r="Q48" i="13" s="1"/>
  <c r="T47" i="13"/>
  <c r="AE44" i="13"/>
  <c r="AE46" i="13" s="1"/>
  <c r="T40" i="13"/>
  <c r="K15" i="13"/>
  <c r="G10" i="13"/>
  <c r="H6" i="13"/>
  <c r="K8" i="13"/>
  <c r="Q15" i="13"/>
  <c r="Q40" i="13" s="1"/>
  <c r="K21" i="13"/>
  <c r="H21" i="13" s="1"/>
  <c r="T22" i="13"/>
  <c r="S15" i="13"/>
  <c r="S40" i="13" s="1"/>
  <c r="N38" i="13"/>
  <c r="N17" i="13"/>
  <c r="G8" i="13"/>
  <c r="K22" i="13"/>
  <c r="K40" i="13" s="1"/>
  <c r="N32" i="10"/>
  <c r="N39" i="10"/>
  <c r="N24" i="10"/>
  <c r="N18" i="10"/>
  <c r="N22" i="10"/>
  <c r="N27" i="10"/>
  <c r="N10" i="10"/>
  <c r="N19" i="10"/>
  <c r="N40" i="10"/>
  <c r="L47" i="10"/>
  <c r="L49" i="10" s="1"/>
  <c r="N42" i="10"/>
  <c r="J18" i="10"/>
  <c r="M18" i="10" s="1"/>
  <c r="J19" i="10"/>
  <c r="M19" i="10" s="1"/>
  <c r="J21" i="10"/>
  <c r="M21" i="10" s="1"/>
  <c r="N21" i="10" s="1"/>
  <c r="J31" i="10"/>
  <c r="M31" i="10" s="1"/>
  <c r="N31" i="10" s="1"/>
  <c r="J41" i="10"/>
  <c r="M41" i="10" s="1"/>
  <c r="N41" i="10" s="1"/>
  <c r="J28" i="10"/>
  <c r="M28" i="10" s="1"/>
  <c r="N28" i="10" s="1"/>
  <c r="J39" i="10"/>
  <c r="M39" i="10" s="1"/>
  <c r="J15" i="10"/>
  <c r="J16" i="10"/>
  <c r="J27" i="10"/>
  <c r="M27" i="10" s="1"/>
  <c r="J38" i="10"/>
  <c r="M38" i="10" s="1"/>
  <c r="N38" i="10" s="1"/>
  <c r="J14" i="10"/>
  <c r="M14" i="10" s="1"/>
  <c r="N14" i="10" s="1"/>
  <c r="J26" i="10"/>
  <c r="M26" i="10" s="1"/>
  <c r="N26" i="10" s="1"/>
  <c r="J35" i="10"/>
  <c r="M35" i="10" s="1"/>
  <c r="N35" i="10" s="1"/>
  <c r="O35" i="10" s="1"/>
  <c r="J36" i="10"/>
  <c r="M36" i="10" s="1"/>
  <c r="N36" i="10" s="1"/>
  <c r="K47" i="10"/>
  <c r="K49" i="10" s="1"/>
  <c r="M10" i="10"/>
  <c r="J24" i="10"/>
  <c r="M24" i="10" s="1"/>
  <c r="J34" i="10"/>
  <c r="M34" i="10" s="1"/>
  <c r="N34" i="10" s="1"/>
  <c r="J23" i="10"/>
  <c r="M23" i="10" s="1"/>
  <c r="N23" i="10" s="1"/>
  <c r="J43" i="10"/>
  <c r="M43" i="10" s="1"/>
  <c r="N43" i="10" s="1"/>
  <c r="K43" i="13" l="1"/>
  <c r="N40" i="13"/>
  <c r="G15" i="13"/>
  <c r="G40" i="13" s="1"/>
  <c r="N22" i="13"/>
  <c r="H17" i="13"/>
  <c r="H22" i="13" s="1"/>
  <c r="H8" i="13"/>
  <c r="K42" i="13"/>
  <c r="K44" i="13" s="1"/>
  <c r="K46" i="13" s="1"/>
  <c r="N43" i="13"/>
  <c r="N44" i="13" s="1"/>
  <c r="H15" i="13"/>
  <c r="N47" i="10"/>
  <c r="M47" i="10"/>
  <c r="M49" i="10" s="1"/>
  <c r="H40" i="13" l="1"/>
  <c r="N49" i="10"/>
  <c r="Q4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2415B122-E31A-4388-A5C4-03F1C563F87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826496EC-1A28-4DCE-A591-9397D32905C4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6B2A84D9-4624-4ED7-98D0-CB3A9C68EF2E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AA834C1F-FAFF-45C1-96A6-344D6D5517BC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A561BC5A-C656-4A19-8012-8AEB1CD5EB0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6A3B1717-089A-43B6-8707-8B8D28FAEF7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J10" authorId="1" shapeId="0" xr:uid="{DE976A99-D4F3-4C1B-AD87-F5C1EFD93CBD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1" authorId="0" shapeId="0" xr:uid="{08CE4BAF-E299-4655-9496-8D3B10E99DC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6DE4BC25-E8DE-4B79-9083-CE5BA685F23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725E8C0A-EBF2-439E-9163-9C8B8B6046E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4" authorId="1" shapeId="0" xr:uid="{02C30DCE-8F18-4ED0-8BED-FD7930145F7F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G15" authorId="0" shapeId="0" xr:uid="{955DCAAC-5733-4130-8199-5F57F55E681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5D3176BE-F189-4F2C-B683-63071E23BDE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EC46AACD-72FD-405B-BB0A-9A86969DF10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B3C62339-BA80-4CAA-9D30-9A593C5E25E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2175293C-0305-4A83-A1D3-5E47C268D30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FCC7B1B0-27E3-48BD-882B-E0E05095862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EB018078-283E-497F-BA5A-DB81316C4C0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3" authorId="0" shapeId="0" xr:uid="{243A574C-D0C8-4866-853C-4BB09F777DA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4" authorId="0" shapeId="0" xr:uid="{67B54523-322E-42B0-B960-1D3A262551C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6" authorId="0" shapeId="0" xr:uid="{1D53B95D-AD5D-4DB3-B080-9DF1FB8174D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7" authorId="0" shapeId="0" xr:uid="{4388AD77-CF61-4928-8B7B-31856739F3A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30" authorId="0" shapeId="0" xr:uid="{5200EE6F-E4C6-4F94-8015-3439F31BDD3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1" authorId="0" shapeId="0" xr:uid="{29716E39-9E16-4D71-AB22-C371CC5A7B1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2" authorId="0" shapeId="0" xr:uid="{1EA946E0-DB9C-411C-B1D0-B4C99D18288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4" authorId="0" shapeId="0" xr:uid="{5F315158-849A-4D22-B7D9-DD6E23DEC87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4" authorId="0" shapeId="0" xr:uid="{9D77ACBE-2CF0-4F3D-A4E5-9F81A897833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5" authorId="0" shapeId="0" xr:uid="{6BBEF213-5272-4026-8EE3-A657BDA19E8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6" authorId="0" shapeId="0" xr:uid="{1C4584B2-5B7A-442C-BD02-079210DC4C5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8" authorId="0" shapeId="0" xr:uid="{277398F3-6613-4B72-B780-99809179446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9" authorId="0" shapeId="0" xr:uid="{3436CF4A-7421-440E-8BE5-AC7972F8FC7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0D5B5B25-F1AD-4D4F-922C-1843EBDDE4F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1" authorId="0" shapeId="0" xr:uid="{9C4B8D8B-AFE6-4E4C-A495-0C9C77C2C8B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2" authorId="0" shapeId="0" xr:uid="{57D1D864-D6A9-4ED2-9EB2-1614EE3F809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3" authorId="0" shapeId="0" xr:uid="{E30A7E0E-F651-449C-B596-37E941D0097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7" authorId="2" shapeId="0" xr:uid="{B4337FAB-5F50-4EDD-BB2D-87E2D3BC963C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9" authorId="3" shapeId="0" xr:uid="{D59EABAC-699B-4F94-AA86-86479747CA3D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53B5E871-5A30-45F6-AD61-3192FA739D35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F2938D76-87DC-4A1F-8ACA-A4C920775983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32857D7A-208F-49B4-ABF5-9B97D5C3FEBE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2DED9D41-6F85-474F-9318-D0BEEEF9E8B9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F9FA0840-D889-415D-9968-67A68CBE52C0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48BBD92E-5C74-4469-817E-B71B4E689DE2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4DBF28D8-22DC-4269-8132-499588A303C3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<sst xmlns="http://schemas.openxmlformats.org/spreadsheetml/2006/main" count="453" uniqueCount="199">
  <si>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</si>
  <si>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</si>
  <si>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</si>
  <si>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</si>
  <si>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</si>
  <si>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</si>
  <si>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</si>
  <si>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</si>
  <si>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</si>
  <si>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 xml:space="preserve"> Washington Deferrals</t>
  </si>
  <si>
    <t xml:space="preserve"> Month of</t>
  </si>
  <si>
    <t>Amortization</t>
  </si>
  <si>
    <t>Total</t>
  </si>
  <si>
    <t>Gas Cost Recognized</t>
  </si>
  <si>
    <t>Total Gas Cost Recognized</t>
  </si>
  <si>
    <t>4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</si>
  <si>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</si>
  <si>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</si>
  <si>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</si>
  <si>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</si>
  <si>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</si>
  <si>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</si>
  <si>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</si>
  <si>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</si>
  <si>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 xml:space="preserve"> Assignment of Core Gas Cost To</t>
  </si>
  <si>
    <t xml:space="preserve"> Class &amp; Rate Schedule</t>
  </si>
  <si>
    <t xml:space="preserve"> Blue - 1501A</t>
  </si>
  <si>
    <t xml:space="preserve"> Core Gas Cost</t>
  </si>
  <si>
    <t>Red Cells = Actual Billed Therms 1501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</si>
  <si>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</si>
  <si>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</si>
  <si>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</si>
  <si>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</si>
  <si>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</si>
  <si>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</si>
  <si>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</si>
  <si>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</si>
  <si>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</si>
  <si>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</si>
  <si>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</si>
  <si>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</si>
  <si>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</si>
  <si>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</si>
  <si>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</si>
  <si>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</si>
  <si>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</si>
  <si>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</si>
  <si>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</si>
  <si>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</si>
  <si>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Regular cycle</t>
  </si>
  <si>
    <t>47WA.6011.28040</t>
  </si>
  <si>
    <t>Firm Res - air con</t>
  </si>
  <si>
    <t>541</t>
  </si>
  <si>
    <t>CNGWA 541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</si>
  <si>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</si>
  <si>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</si>
  <si>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</si>
  <si>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</si>
  <si>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</si>
  <si>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</si>
  <si>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</si>
  <si>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</si>
  <si>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47WA.4002.4810</t>
  </si>
  <si>
    <t>Firm Commercial</t>
  </si>
  <si>
    <t>504</t>
  </si>
  <si>
    <t>CNGWA 504</t>
  </si>
  <si>
    <t>GC RECOGNIZED RS 25040</t>
  </si>
  <si>
    <t>47WA.4009.4810</t>
  </si>
  <si>
    <t>PM Unbilled - Com'l</t>
  </si>
  <si>
    <t>Reg. accrual</t>
  </si>
  <si>
    <t>CM Unbilled - Com'l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</si>
  <si>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</si>
  <si>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</si>
  <si>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</si>
  <si>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</si>
  <si>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</si>
  <si>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</si>
  <si>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</si>
  <si>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</si>
  <si>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</si>
  <si>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GC RECOGNIZED RS 25410</t>
  </si>
  <si>
    <t xml:space="preserve">PM Unbilled </t>
  </si>
  <si>
    <t>CNGWA 04LV</t>
  </si>
  <si>
    <t xml:space="preserve">CM Unbilled </t>
  </si>
  <si>
    <t>47WA.4002.4809</t>
  </si>
  <si>
    <t>Firm Ind'l</t>
  </si>
  <si>
    <t>505</t>
  </si>
  <si>
    <t>CNGWA 505</t>
  </si>
  <si>
    <t>GC RECOGNIZED RS 35050</t>
  </si>
  <si>
    <t>Firm Industrial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</si>
  <si>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</si>
  <si>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</si>
  <si>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</si>
  <si>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</si>
  <si>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</si>
  <si>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</si>
  <si>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</si>
  <si>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</si>
  <si>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</si>
  <si>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</si>
  <si>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</si>
  <si>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</si>
  <si>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>47WA.4009.4813</t>
  </si>
  <si>
    <t>Interr Industrial</t>
  </si>
  <si>
    <t>5</t>
  </si>
  <si>
    <t>CM Unbilled</t>
  </si>
  <si>
    <t>47WA.4002.4813</t>
  </si>
  <si>
    <t>Interr Industrial - Ltd</t>
  </si>
  <si>
    <t>577</t>
  </si>
  <si>
    <t>CNGWA 577</t>
  </si>
  <si>
    <t>GC RECOGNIZED RS 55770</t>
  </si>
  <si>
    <t>Interr Institutional</t>
  </si>
  <si>
    <t>GC RECOGNIZED RS 65700</t>
  </si>
  <si>
    <t>Old Rates</t>
  </si>
  <si>
    <t xml:space="preserve">Total Gas Cost Recognized </t>
  </si>
  <si>
    <t>New Rates</t>
  </si>
  <si>
    <t>Pg 2</t>
  </si>
  <si>
    <t>S003000804009990670001</t>
  </si>
  <si>
    <t>GC RECOGNIZED CORE TOTAL</t>
  </si>
  <si>
    <t>Total WA</t>
  </si>
  <si>
    <t>Pg 8</t>
  </si>
  <si>
    <t>A</t>
  </si>
  <si>
    <t xml:space="preserve"> </t>
  </si>
  <si>
    <t>CNGWA 11LV</t>
  </si>
  <si>
    <t>WASHINGTON - New Rates 2019</t>
  </si>
  <si>
    <t>Nov 1 2019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</si>
  <si>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</si>
  <si>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</si>
  <si>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</si>
  <si>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</si>
  <si>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</si>
  <si>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</si>
  <si>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</si>
  <si>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</si>
  <si>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</si>
  <si>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</si>
  <si>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</si>
  <si>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</si>
  <si>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</si>
  <si>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</si>
  <si>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</si>
  <si>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</si>
  <si>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</si>
  <si>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</si>
  <si>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</si>
  <si>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</si>
  <si>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</si>
  <si>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</si>
  <si>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</si>
  <si>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</si>
  <si>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</si>
  <si>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</si>
  <si>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</si>
  <si>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</si>
  <si>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</si>
  <si>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</si>
  <si>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</si>
  <si>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</si>
  <si>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</si>
  <si>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</si>
  <si>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</si>
  <si>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</si>
  <si>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</si>
  <si>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</si>
  <si>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</si>
  <si>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</si>
  <si>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</si>
  <si>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</si>
  <si>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</si>
  <si>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</si>
  <si>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</si>
  <si>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</si>
  <si>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</si>
  <si>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</si>
  <si>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</si>
  <si>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Previous Month Gas Supply Analysis</t>
  </si>
  <si>
    <t>WA &amp; OR</t>
  </si>
  <si>
    <t>JDE Export</t>
  </si>
  <si>
    <t>True-up</t>
  </si>
  <si>
    <t xml:space="preserve">    </t>
  </si>
  <si>
    <t>AU</t>
  </si>
  <si>
    <t>Ledger Type</t>
  </si>
  <si>
    <t>AA</t>
  </si>
  <si>
    <t>Year</t>
  </si>
  <si>
    <t>2019</t>
  </si>
  <si>
    <t>Format</t>
  </si>
  <si>
    <t>per</t>
  </si>
  <si>
    <t>Period</t>
  </si>
  <si>
    <t>11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</si>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</sst>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  <numFmt numFmtId="171" formatCode="_(* #,##0.0000_);_(* \(#,##0.0000\);_(* &quot;-&quot;??_);_(@_)"/>
  </numFmts>
  <fonts count="53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theme="0"/>
      <name val="Arial"/>
      <family val="2"/>
    </font>
    <font>
      <b/>
      <sz val="10"/>
      <color indexed="10"/>
      <name val="Arial"/>
      <family val="2"/>
    </font>
    <font>
      <i/>
      <sz val="8"/>
      <color indexed="10"/>
      <name val="Arial"/>
      <family val="2"/>
    </font>
    <font>
      <b/>
      <sz val="12"/>
      <color theme="4" tint="-0.249977111117893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44" fontId="0" fillId="0" borderId="0" xfId="0" applyNumberFormat="1"/>
    <xf numFmtId="44" fontId="1" fillId="0" borderId="0" xfId="2" applyFont="1"/>
    <xf numFmtId="0" fontId="5" fillId="0" borderId="0" xfId="0" applyFont="1"/>
    <xf numFmtId="165" fontId="1" fillId="0" borderId="0" xfId="1" applyNumberFormat="1" applyFont="1"/>
    <xf numFmtId="165" fontId="5" fillId="0" borderId="0" xfId="1" applyNumberFormat="1" applyFont="1"/>
    <xf numFmtId="0" fontId="1" fillId="0" borderId="0" xfId="0" applyFont="1" applyAlignment="1"/>
    <xf numFmtId="49" fontId="2" fillId="0" borderId="0" xfId="1" applyNumberFormat="1" applyFont="1" applyAlignment="1"/>
    <xf numFmtId="49" fontId="1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/>
    </xf>
    <xf numFmtId="49" fontId="1" fillId="0" borderId="0" xfId="0" applyNumberFormat="1" applyFont="1" applyAlignment="1"/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center" wrapText="1"/>
    </xf>
    <xf numFmtId="165" fontId="16" fillId="0" borderId="0" xfId="1" applyNumberFormat="1" applyFont="1" applyAlignment="1">
      <alignment horizontal="left"/>
    </xf>
    <xf numFmtId="49" fontId="1" fillId="0" borderId="0" xfId="0" applyNumberFormat="1" applyFont="1" applyFill="1" applyBorder="1" applyAlignment="1"/>
    <xf numFmtId="165" fontId="17" fillId="0" borderId="0" xfId="1" applyNumberFormat="1" applyFont="1" applyAlignment="1">
      <alignment horizontal="left"/>
    </xf>
    <xf numFmtId="49" fontId="1" fillId="0" borderId="0" xfId="1" applyNumberFormat="1" applyFont="1"/>
    <xf numFmtId="0" fontId="1" fillId="5" borderId="0" xfId="0" applyFont="1" applyFill="1" applyBorder="1"/>
    <xf numFmtId="49" fontId="1" fillId="5" borderId="0" xfId="1" applyNumberFormat="1" applyFont="1" applyFill="1" applyBorder="1"/>
    <xf numFmtId="49" fontId="1" fillId="5" borderId="0" xfId="0" applyNumberFormat="1" applyFont="1" applyFill="1" applyBorder="1"/>
    <xf numFmtId="165" fontId="1" fillId="5" borderId="0" xfId="1" applyNumberFormat="1" applyFont="1" applyFill="1" applyBorder="1" applyAlignment="1">
      <alignment horizontal="center"/>
    </xf>
    <xf numFmtId="166" fontId="1" fillId="5" borderId="0" xfId="2" applyNumberFormat="1" applyFont="1" applyFill="1" applyBorder="1" applyAlignment="1">
      <alignment horizontal="center"/>
    </xf>
    <xf numFmtId="166" fontId="1" fillId="0" borderId="0" xfId="2" applyNumberFormat="1" applyFont="1" applyFill="1" applyBorder="1" applyAlignment="1">
      <alignment horizontal="center"/>
    </xf>
    <xf numFmtId="39" fontId="0" fillId="0" borderId="0" xfId="0" applyNumberFormat="1"/>
    <xf numFmtId="0" fontId="18" fillId="0" borderId="0" xfId="0" applyFont="1" applyAlignment="1">
      <alignment horizontal="center"/>
    </xf>
    <xf numFmtId="49" fontId="4" fillId="5" borderId="0" xfId="0" applyNumberFormat="1" applyFont="1" applyFill="1" applyBorder="1" applyAlignment="1">
      <alignment horizontal="center"/>
    </xf>
    <xf numFmtId="49" fontId="4" fillId="5" borderId="0" xfId="1" applyNumberFormat="1" applyFont="1" applyFill="1" applyBorder="1"/>
    <xf numFmtId="49" fontId="4" fillId="5" borderId="0" xfId="0" applyNumberFormat="1" applyFont="1" applyFill="1" applyBorder="1"/>
    <xf numFmtId="39" fontId="16" fillId="0" borderId="0" xfId="0" applyNumberFormat="1" applyFont="1"/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165" fontId="1" fillId="5" borderId="1" xfId="1" applyNumberFormat="1" applyFont="1" applyFill="1" applyBorder="1" applyAlignment="1">
      <alignment horizontal="center"/>
    </xf>
    <xf numFmtId="167" fontId="19" fillId="5" borderId="1" xfId="2" applyNumberFormat="1" applyFont="1" applyFill="1" applyBorder="1" applyAlignment="1">
      <alignment horizontal="center"/>
    </xf>
    <xf numFmtId="166" fontId="1" fillId="5" borderId="1" xfId="2" applyNumberFormat="1" applyFon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Fill="1"/>
    <xf numFmtId="165" fontId="22" fillId="0" borderId="0" xfId="1" applyNumberFormat="1" applyFont="1" applyFill="1"/>
    <xf numFmtId="166" fontId="23" fillId="8" borderId="0" xfId="2" applyNumberFormat="1" applyFont="1" applyFill="1"/>
    <xf numFmtId="44" fontId="1" fillId="0" borderId="0" xfId="2" applyNumberFormat="1"/>
    <xf numFmtId="44" fontId="1" fillId="3" borderId="0" xfId="2" applyNumberFormat="1" applyFill="1"/>
    <xf numFmtId="44" fontId="1" fillId="0" borderId="0" xfId="2" applyNumberFormat="1" applyFill="1"/>
    <xf numFmtId="44" fontId="1" fillId="0" borderId="0" xfId="0" applyNumberFormat="1" applyFont="1"/>
    <xf numFmtId="166" fontId="23" fillId="9" borderId="0" xfId="2" applyNumberFormat="1" applyFont="1" applyFill="1"/>
    <xf numFmtId="44" fontId="1" fillId="0" borderId="11" xfId="2" applyNumberFormat="1" applyBorder="1"/>
    <xf numFmtId="44" fontId="16" fillId="0" borderId="0" xfId="0" applyNumberFormat="1" applyFont="1"/>
    <xf numFmtId="44" fontId="4" fillId="0" borderId="0" xfId="0" applyNumberFormat="1" applyFont="1"/>
    <xf numFmtId="165" fontId="24" fillId="0" borderId="0" xfId="1" applyNumberFormat="1" applyFont="1" applyFill="1"/>
    <xf numFmtId="165" fontId="25" fillId="10" borderId="0" xfId="1" applyNumberFormat="1" applyFont="1" applyFill="1"/>
    <xf numFmtId="44" fontId="4" fillId="0" borderId="0" xfId="0" applyNumberFormat="1" applyFont="1" applyFill="1"/>
    <xf numFmtId="44" fontId="1" fillId="0" borderId="0" xfId="0" applyNumberFormat="1" applyFont="1" applyFill="1"/>
    <xf numFmtId="44" fontId="27" fillId="3" borderId="0" xfId="2" applyNumberFormat="1" applyFont="1" applyFill="1"/>
    <xf numFmtId="44" fontId="27" fillId="0" borderId="0" xfId="2" applyNumberFormat="1" applyFont="1" applyFill="1"/>
    <xf numFmtId="44" fontId="1" fillId="12" borderId="0" xfId="2" applyNumberFormat="1" applyFill="1"/>
    <xf numFmtId="165" fontId="28" fillId="0" borderId="0" xfId="1" applyNumberFormat="1" applyFont="1" applyFill="1"/>
    <xf numFmtId="165" fontId="29" fillId="10" borderId="0" xfId="1" applyNumberFormat="1" applyFont="1" applyFill="1"/>
    <xf numFmtId="165" fontId="18" fillId="0" borderId="0" xfId="1" applyNumberFormat="1" applyFont="1" applyFill="1"/>
    <xf numFmtId="165" fontId="26" fillId="0" borderId="0" xfId="1" applyNumberFormat="1" applyFont="1" applyFill="1"/>
    <xf numFmtId="166" fontId="19" fillId="9" borderId="0" xfId="2" applyNumberFormat="1" applyFont="1" applyFill="1"/>
    <xf numFmtId="166" fontId="1" fillId="0" borderId="0" xfId="2" applyNumberFormat="1"/>
    <xf numFmtId="165" fontId="30" fillId="10" borderId="0" xfId="1" applyNumberFormat="1" applyFont="1" applyFill="1"/>
    <xf numFmtId="165" fontId="31" fillId="0" borderId="0" xfId="1" applyNumberFormat="1" applyFont="1" applyFill="1"/>
    <xf numFmtId="165" fontId="9" fillId="0" borderId="0" xfId="1" applyNumberFormat="1" applyFont="1" applyFill="1"/>
    <xf numFmtId="166" fontId="32" fillId="0" borderId="0" xfId="2" applyNumberFormat="1" applyFont="1"/>
    <xf numFmtId="0" fontId="4" fillId="0" borderId="0" xfId="0" applyFont="1" applyAlignment="1">
      <alignment horizontal="left" inden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/>
    <xf numFmtId="165" fontId="2" fillId="0" borderId="0" xfId="1" applyNumberFormat="1" applyFont="1"/>
    <xf numFmtId="165" fontId="8" fillId="0" borderId="0" xfId="1" applyNumberFormat="1" applyFont="1"/>
    <xf numFmtId="44" fontId="4" fillId="6" borderId="0" xfId="0" applyNumberFormat="1" applyFont="1" applyFill="1" applyBorder="1" applyAlignment="1">
      <alignment horizontal="center"/>
    </xf>
    <xf numFmtId="44" fontId="4" fillId="13" borderId="0" xfId="0" applyNumberFormat="1" applyFont="1" applyFill="1" applyBorder="1" applyAlignment="1">
      <alignment horizontal="center"/>
    </xf>
    <xf numFmtId="44" fontId="4" fillId="14" borderId="11" xfId="2" applyFont="1" applyFill="1" applyBorder="1"/>
    <xf numFmtId="44" fontId="4" fillId="0" borderId="0" xfId="2" applyNumberFormat="1" applyFont="1"/>
    <xf numFmtId="44" fontId="4" fillId="3" borderId="0" xfId="2" applyNumberFormat="1" applyFont="1" applyFill="1"/>
    <xf numFmtId="49" fontId="8" fillId="0" borderId="0" xfId="0" applyNumberFormat="1" applyFont="1"/>
    <xf numFmtId="165" fontId="8" fillId="10" borderId="0" xfId="1" applyNumberFormat="1" applyFont="1" applyFill="1"/>
    <xf numFmtId="168" fontId="1" fillId="0" borderId="0" xfId="2" applyNumberFormat="1"/>
    <xf numFmtId="44" fontId="28" fillId="0" borderId="0" xfId="2" applyNumberFormat="1" applyFont="1"/>
    <xf numFmtId="165" fontId="3" fillId="0" borderId="0" xfId="1" applyNumberFormat="1" applyFont="1" applyAlignment="1">
      <alignment horizontal="center"/>
    </xf>
    <xf numFmtId="44" fontId="1" fillId="0" borderId="0" xfId="2" applyNumberFormat="1" applyFont="1"/>
    <xf numFmtId="165" fontId="3" fillId="0" borderId="0" xfId="1" applyNumberFormat="1" applyFont="1" applyAlignment="1">
      <alignment horizontal="center" vertical="center"/>
    </xf>
    <xf numFmtId="165" fontId="1" fillId="0" borderId="0" xfId="1" applyNumberFormat="1"/>
    <xf numFmtId="44" fontId="4" fillId="0" borderId="0" xfId="2" applyNumberFormat="1" applyFont="1" applyAlignment="1">
      <alignment horizontal="left"/>
    </xf>
    <xf numFmtId="165" fontId="28" fillId="0" borderId="0" xfId="1" applyNumberFormat="1" applyFont="1"/>
    <xf numFmtId="166" fontId="1" fillId="0" borderId="0" xfId="2" applyNumberFormat="1" applyFont="1" applyAlignment="1">
      <alignment horizontal="left"/>
    </xf>
    <xf numFmtId="43" fontId="1" fillId="0" borderId="0" xfId="1" applyFont="1" applyAlignment="1">
      <alignment horizontal="left"/>
    </xf>
    <xf numFmtId="169" fontId="1" fillId="0" borderId="0" xfId="2" applyNumberFormat="1"/>
    <xf numFmtId="44" fontId="28" fillId="0" borderId="0" xfId="2" applyFont="1" applyFill="1"/>
    <xf numFmtId="44" fontId="1" fillId="0" borderId="0" xfId="2"/>
    <xf numFmtId="43" fontId="4" fillId="0" borderId="0" xfId="1" applyFont="1" applyAlignment="1">
      <alignment horizontal="left"/>
    </xf>
    <xf numFmtId="44" fontId="23" fillId="0" borderId="0" xfId="2" applyFont="1" applyFill="1"/>
    <xf numFmtId="43" fontId="1" fillId="0" borderId="0" xfId="1"/>
    <xf numFmtId="44" fontId="4" fillId="0" borderId="0" xfId="2" applyFont="1"/>
    <xf numFmtId="44" fontId="1" fillId="0" borderId="12" xfId="2" applyFont="1" applyBorder="1"/>
    <xf numFmtId="165" fontId="1" fillId="0" borderId="2" xfId="1" applyNumberFormat="1" applyFont="1" applyBorder="1"/>
    <xf numFmtId="44" fontId="1" fillId="0" borderId="2" xfId="2" applyFont="1" applyBorder="1"/>
    <xf numFmtId="43" fontId="1" fillId="0" borderId="0" xfId="1" applyNumberFormat="1" applyFont="1"/>
    <xf numFmtId="0" fontId="4" fillId="0" borderId="0" xfId="3" applyFont="1" applyFill="1" applyBorder="1"/>
    <xf numFmtId="0" fontId="1" fillId="0" borderId="0" xfId="3" applyFont="1" applyFill="1" applyBorder="1"/>
    <xf numFmtId="0" fontId="1" fillId="0" borderId="0" xfId="3" applyFont="1" applyFill="1"/>
    <xf numFmtId="165" fontId="5" fillId="0" borderId="0" xfId="1" applyNumberFormat="1" applyFont="1" applyFill="1"/>
    <xf numFmtId="165" fontId="37" fillId="11" borderId="0" xfId="1" applyNumberFormat="1" applyFont="1" applyFill="1"/>
    <xf numFmtId="0" fontId="1" fillId="3" borderId="0" xfId="0" applyFont="1" applyFill="1" applyAlignment="1">
      <alignment horizontal="left" indent="1"/>
    </xf>
    <xf numFmtId="49" fontId="1" fillId="3" borderId="0" xfId="1" applyNumberFormat="1" applyFont="1" applyFill="1"/>
    <xf numFmtId="49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/>
    <xf numFmtId="165" fontId="22" fillId="17" borderId="0" xfId="1" applyNumberFormat="1" applyFont="1" applyFill="1"/>
    <xf numFmtId="49" fontId="6" fillId="0" borderId="0" xfId="1" applyNumberFormat="1" applyFont="1" applyAlignment="1"/>
    <xf numFmtId="49" fontId="5" fillId="0" borderId="0" xfId="1" applyNumberFormat="1" applyFont="1"/>
    <xf numFmtId="49" fontId="3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43" fontId="5" fillId="0" borderId="0" xfId="1" applyNumberFormat="1" applyFont="1"/>
    <xf numFmtId="165" fontId="5" fillId="15" borderId="0" xfId="1" applyNumberFormat="1" applyFont="1" applyFill="1"/>
    <xf numFmtId="43" fontId="39" fillId="0" borderId="0" xfId="1" applyNumberFormat="1" applyFont="1"/>
    <xf numFmtId="165" fontId="34" fillId="0" borderId="0" xfId="1" applyNumberFormat="1" applyFont="1" applyFill="1"/>
    <xf numFmtId="43" fontId="34" fillId="0" borderId="0" xfId="1" applyFont="1" applyFill="1"/>
    <xf numFmtId="164" fontId="9" fillId="0" borderId="0" xfId="1" applyNumberFormat="1" applyFont="1" applyBorder="1" applyAlignment="1">
      <alignment horizontal="center"/>
    </xf>
    <xf numFmtId="164" fontId="40" fillId="0" borderId="0" xfId="1" applyNumberFormat="1" applyFont="1" applyBorder="1" applyAlignment="1">
      <alignment horizontal="left"/>
    </xf>
    <xf numFmtId="165" fontId="6" fillId="0" borderId="0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4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49" fontId="8" fillId="0" borderId="0" xfId="1" applyNumberFormat="1" applyFont="1" applyBorder="1"/>
    <xf numFmtId="43" fontId="5" fillId="0" borderId="0" xfId="1" applyNumberFormat="1" applyFont="1" applyBorder="1"/>
    <xf numFmtId="165" fontId="34" fillId="0" borderId="0" xfId="1" applyNumberFormat="1" applyFont="1"/>
    <xf numFmtId="165" fontId="1" fillId="15" borderId="0" xfId="1" applyNumberFormat="1" applyFont="1" applyFill="1"/>
    <xf numFmtId="164" fontId="9" fillId="0" borderId="0" xfId="1" applyNumberFormat="1" applyFont="1" applyBorder="1" applyAlignment="1"/>
    <xf numFmtId="165" fontId="36" fillId="0" borderId="0" xfId="1" applyNumberFormat="1" applyFont="1" applyAlignment="1">
      <alignment horizontal="center"/>
    </xf>
    <xf numFmtId="165" fontId="36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8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5" fontId="2" fillId="15" borderId="0" xfId="1" applyNumberFormat="1" applyFont="1" applyFill="1"/>
    <xf numFmtId="165" fontId="8" fillId="0" borderId="1" xfId="1" applyNumberFormat="1" applyFont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34" fillId="0" borderId="0" xfId="1" applyNumberFormat="1" applyFont="1" applyAlignment="1">
      <alignment horizontal="center"/>
    </xf>
    <xf numFmtId="49" fontId="4" fillId="5" borderId="1" xfId="1" applyNumberFormat="1" applyFont="1" applyFill="1" applyBorder="1" applyAlignment="1">
      <alignment horizontal="left"/>
    </xf>
    <xf numFmtId="165" fontId="1" fillId="5" borderId="1" xfId="1" applyNumberFormat="1" applyFont="1" applyFill="1" applyBorder="1"/>
    <xf numFmtId="165" fontId="21" fillId="5" borderId="2" xfId="1" applyNumberFormat="1" applyFont="1" applyFill="1" applyBorder="1" applyAlignment="1">
      <alignment horizontal="center"/>
    </xf>
    <xf numFmtId="43" fontId="21" fillId="5" borderId="2" xfId="1" applyNumberFormat="1" applyFont="1" applyFill="1" applyBorder="1" applyAlignment="1">
      <alignment horizontal="center"/>
    </xf>
    <xf numFmtId="165" fontId="21" fillId="5" borderId="1" xfId="1" applyNumberFormat="1" applyFont="1" applyFill="1" applyBorder="1" applyAlignment="1">
      <alignment horizontal="center"/>
    </xf>
    <xf numFmtId="43" fontId="21" fillId="5" borderId="1" xfId="1" applyNumberFormat="1" applyFont="1" applyFill="1" applyBorder="1" applyAlignment="1">
      <alignment horizontal="center"/>
    </xf>
    <xf numFmtId="165" fontId="33" fillId="5" borderId="1" xfId="1" applyNumberFormat="1" applyFont="1" applyFill="1" applyBorder="1" applyAlignment="1">
      <alignment horizontal="center"/>
    </xf>
    <xf numFmtId="165" fontId="33" fillId="5" borderId="2" xfId="1" applyNumberFormat="1" applyFont="1" applyFill="1" applyBorder="1" applyAlignment="1">
      <alignment horizontal="center"/>
    </xf>
    <xf numFmtId="43" fontId="33" fillId="5" borderId="2" xfId="1" applyNumberFormat="1" applyFont="1" applyFill="1" applyBorder="1" applyAlignment="1">
      <alignment horizontal="center"/>
    </xf>
    <xf numFmtId="43" fontId="33" fillId="5" borderId="1" xfId="1" applyNumberFormat="1" applyFont="1" applyFill="1" applyBorder="1" applyAlignment="1">
      <alignment horizontal="center"/>
    </xf>
    <xf numFmtId="165" fontId="41" fillId="5" borderId="1" xfId="1" applyNumberFormat="1" applyFont="1" applyFill="1" applyBorder="1" applyAlignment="1">
      <alignment horizontal="center"/>
    </xf>
    <xf numFmtId="43" fontId="21" fillId="0" borderId="0" xfId="1" applyNumberFormat="1" applyFont="1" applyAlignment="1">
      <alignment horizontal="center"/>
    </xf>
    <xf numFmtId="49" fontId="1" fillId="18" borderId="0" xfId="1" applyNumberFormat="1" applyFont="1" applyFill="1" applyAlignment="1">
      <alignment horizontal="right"/>
    </xf>
    <xf numFmtId="0" fontId="1" fillId="18" borderId="0" xfId="1" applyNumberFormat="1" applyFont="1" applyFill="1" applyAlignment="1">
      <alignment horizontal="center"/>
    </xf>
    <xf numFmtId="0" fontId="8" fillId="0" borderId="0" xfId="1" applyNumberFormat="1" applyFont="1" applyAlignment="1">
      <alignment horizontal="center"/>
    </xf>
    <xf numFmtId="165" fontId="32" fillId="0" borderId="0" xfId="1" applyNumberFormat="1" applyFont="1" applyAlignment="1">
      <alignment horizontal="center"/>
    </xf>
    <xf numFmtId="44" fontId="32" fillId="0" borderId="0" xfId="2" applyFont="1"/>
    <xf numFmtId="165" fontId="1" fillId="0" borderId="0" xfId="1" applyNumberFormat="1" applyFont="1" applyAlignment="1">
      <alignment horizontal="left" indent="3"/>
    </xf>
    <xf numFmtId="44" fontId="1" fillId="19" borderId="0" xfId="2" applyFont="1" applyFill="1"/>
    <xf numFmtId="165" fontId="1" fillId="0" borderId="0" xfId="1" applyNumberFormat="1" applyFont="1" applyFill="1" applyAlignment="1">
      <alignment horizontal="left"/>
    </xf>
    <xf numFmtId="165" fontId="4" fillId="0" borderId="0" xfId="1" applyNumberFormat="1" applyFont="1" applyAlignment="1">
      <alignment horizontal="left" indent="3"/>
    </xf>
    <xf numFmtId="44" fontId="16" fillId="19" borderId="0" xfId="2" applyFont="1" applyFill="1"/>
    <xf numFmtId="165" fontId="32" fillId="0" borderId="0" xfId="1" applyNumberFormat="1" applyFont="1" applyAlignment="1">
      <alignment horizontal="left"/>
    </xf>
    <xf numFmtId="44" fontId="9" fillId="19" borderId="0" xfId="2" applyFont="1" applyFill="1"/>
    <xf numFmtId="0" fontId="8" fillId="19" borderId="0" xfId="2" applyNumberFormat="1" applyFont="1" applyFill="1" applyAlignment="1">
      <alignment horizontal="center"/>
    </xf>
    <xf numFmtId="165" fontId="42" fillId="0" borderId="0" xfId="1" applyNumberFormat="1" applyFont="1" applyAlignment="1">
      <alignment horizontal="left"/>
    </xf>
    <xf numFmtId="165" fontId="34" fillId="0" borderId="0" xfId="1" applyNumberFormat="1" applyFont="1" applyAlignment="1">
      <alignment horizontal="left"/>
    </xf>
    <xf numFmtId="165" fontId="32" fillId="0" borderId="0" xfId="1" applyNumberFormat="1" applyFont="1"/>
    <xf numFmtId="165" fontId="1" fillId="0" borderId="0" xfId="1" applyNumberFormat="1" applyFont="1" applyFill="1"/>
    <xf numFmtId="44" fontId="1" fillId="20" borderId="0" xfId="2" applyNumberFormat="1" applyFont="1" applyFill="1"/>
    <xf numFmtId="44" fontId="1" fillId="20" borderId="0" xfId="2" applyFont="1" applyFill="1"/>
    <xf numFmtId="165" fontId="16" fillId="0" borderId="0" xfId="1" applyNumberFormat="1" applyFont="1"/>
    <xf numFmtId="44" fontId="16" fillId="20" borderId="0" xfId="2" applyFont="1" applyFill="1"/>
    <xf numFmtId="165" fontId="43" fillId="0" borderId="0" xfId="1" applyNumberFormat="1" applyFont="1" applyAlignment="1">
      <alignment horizontal="left"/>
    </xf>
    <xf numFmtId="165" fontId="43" fillId="0" borderId="0" xfId="1" applyNumberFormat="1" applyFont="1" applyAlignment="1">
      <alignment horizontal="left" indent="1"/>
    </xf>
    <xf numFmtId="44" fontId="35" fillId="21" borderId="0" xfId="2" applyFont="1" applyFill="1"/>
    <xf numFmtId="0" fontId="8" fillId="20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left" indent="3"/>
    </xf>
    <xf numFmtId="165" fontId="1" fillId="0" borderId="0" xfId="1" applyNumberFormat="1" applyFont="1" applyAlignment="1">
      <alignment horizontal="left" indent="4"/>
    </xf>
    <xf numFmtId="165" fontId="44" fillId="0" borderId="0" xfId="1" applyNumberFormat="1" applyFont="1" applyAlignment="1">
      <alignment horizontal="left" indent="4"/>
    </xf>
    <xf numFmtId="44" fontId="9" fillId="20" borderId="0" xfId="2" applyFont="1" applyFill="1"/>
    <xf numFmtId="165" fontId="45" fillId="0" borderId="0" xfId="1" applyNumberFormat="1" applyFont="1" applyAlignment="1">
      <alignment horizontal="left"/>
    </xf>
    <xf numFmtId="43" fontId="5" fillId="15" borderId="0" xfId="1" applyFont="1" applyFill="1"/>
    <xf numFmtId="44" fontId="16" fillId="20" borderId="0" xfId="2" applyNumberFormat="1" applyFont="1" applyFill="1"/>
    <xf numFmtId="49" fontId="1" fillId="2" borderId="0" xfId="1" applyNumberFormat="1" applyFont="1" applyFill="1" applyAlignment="1">
      <alignment horizontal="right"/>
    </xf>
    <xf numFmtId="0" fontId="1" fillId="2" borderId="0" xfId="1" applyNumberFormat="1" applyFont="1" applyFill="1" applyAlignment="1">
      <alignment horizontal="center"/>
    </xf>
    <xf numFmtId="0" fontId="8" fillId="22" borderId="0" xfId="1" applyNumberFormat="1" applyFont="1" applyFill="1" applyAlignment="1">
      <alignment horizontal="center"/>
    </xf>
    <xf numFmtId="165" fontId="1" fillId="22" borderId="0" xfId="1" applyNumberFormat="1" applyFont="1" applyFill="1"/>
    <xf numFmtId="44" fontId="16" fillId="22" borderId="0" xfId="2" applyFont="1" applyFill="1"/>
    <xf numFmtId="165" fontId="32" fillId="15" borderId="0" xfId="1" applyNumberFormat="1" applyFont="1" applyFill="1" applyAlignment="1">
      <alignment horizontal="left" vertical="top"/>
    </xf>
    <xf numFmtId="43" fontId="46" fillId="0" borderId="0" xfId="1" applyFont="1"/>
    <xf numFmtId="165" fontId="44" fillId="0" borderId="0" xfId="1" applyNumberFormat="1" applyFont="1" applyAlignment="1">
      <alignment horizontal="left"/>
    </xf>
    <xf numFmtId="165" fontId="46" fillId="0" borderId="0" xfId="1" applyNumberFormat="1" applyFont="1"/>
    <xf numFmtId="165" fontId="1" fillId="0" borderId="1" xfId="1" applyNumberFormat="1" applyFont="1" applyBorder="1"/>
    <xf numFmtId="44" fontId="1" fillId="20" borderId="1" xfId="2" applyFont="1" applyFill="1" applyBorder="1"/>
    <xf numFmtId="165" fontId="28" fillId="0" borderId="1" xfId="1" applyNumberFormat="1" applyFont="1" applyBorder="1"/>
    <xf numFmtId="44" fontId="28" fillId="20" borderId="0" xfId="2" applyFont="1" applyFill="1"/>
    <xf numFmtId="165" fontId="38" fillId="0" borderId="1" xfId="1" applyNumberFormat="1" applyFont="1" applyBorder="1"/>
    <xf numFmtId="44" fontId="9" fillId="20" borderId="1" xfId="2" applyFont="1" applyFill="1" applyBorder="1"/>
    <xf numFmtId="49" fontId="1" fillId="18" borderId="0" xfId="1" applyNumberFormat="1" applyFont="1" applyFill="1" applyAlignment="1">
      <alignment horizontal="center"/>
    </xf>
    <xf numFmtId="49" fontId="8" fillId="0" borderId="0" xfId="1" applyNumberFormat="1" applyFont="1" applyAlignment="1">
      <alignment horizontal="center"/>
    </xf>
    <xf numFmtId="43" fontId="1" fillId="0" borderId="2" xfId="1" applyNumberFormat="1" applyFont="1" applyBorder="1"/>
    <xf numFmtId="165" fontId="32" fillId="0" borderId="12" xfId="1" applyNumberFormat="1" applyFont="1" applyBorder="1"/>
    <xf numFmtId="44" fontId="32" fillId="0" borderId="12" xfId="2" applyFont="1" applyBorder="1"/>
    <xf numFmtId="165" fontId="1" fillId="0" borderId="12" xfId="1" applyNumberFormat="1" applyFont="1" applyBorder="1"/>
    <xf numFmtId="44" fontId="2" fillId="0" borderId="2" xfId="2" applyFont="1" applyBorder="1"/>
    <xf numFmtId="165" fontId="5" fillId="0" borderId="2" xfId="1" applyNumberFormat="1" applyFont="1" applyBorder="1" applyAlignment="1">
      <alignment horizontal="left"/>
    </xf>
    <xf numFmtId="44" fontId="34" fillId="0" borderId="0" xfId="2" applyFont="1"/>
    <xf numFmtId="43" fontId="32" fillId="0" borderId="12" xfId="1" applyNumberFormat="1" applyFont="1" applyBorder="1"/>
    <xf numFmtId="165" fontId="5" fillId="0" borderId="0" xfId="1" applyNumberFormat="1" applyFont="1" applyFill="1" applyAlignment="1">
      <alignment horizontal="left"/>
    </xf>
    <xf numFmtId="43" fontId="32" fillId="0" borderId="0" xfId="1" applyNumberFormat="1" applyFont="1"/>
    <xf numFmtId="165" fontId="4" fillId="0" borderId="12" xfId="1" applyNumberFormat="1" applyFont="1" applyBorder="1"/>
    <xf numFmtId="165" fontId="32" fillId="0" borderId="0" xfId="1" applyNumberFormat="1" applyFont="1" applyAlignment="1">
      <alignment horizontal="left" indent="4"/>
    </xf>
    <xf numFmtId="165" fontId="32" fillId="0" borderId="0" xfId="1" applyNumberFormat="1" applyFont="1" applyAlignment="1">
      <alignment horizontal="left" indent="3"/>
    </xf>
    <xf numFmtId="165" fontId="32" fillId="0" borderId="0" xfId="1" applyNumberFormat="1" applyFont="1" applyAlignment="1"/>
    <xf numFmtId="44" fontId="9" fillId="19" borderId="0" xfId="2" applyFont="1" applyFill="1" applyAlignment="1"/>
    <xf numFmtId="44" fontId="5" fillId="0" borderId="0" xfId="2" applyFont="1"/>
    <xf numFmtId="165" fontId="32" fillId="0" borderId="1" xfId="1" applyNumberFormat="1" applyFont="1" applyBorder="1" applyAlignment="1">
      <alignment horizontal="left" indent="3"/>
    </xf>
    <xf numFmtId="44" fontId="1" fillId="19" borderId="1" xfId="2" applyFont="1" applyFill="1" applyBorder="1"/>
    <xf numFmtId="165" fontId="1" fillId="0" borderId="0" xfId="1" applyNumberFormat="1" applyFont="1" applyAlignment="1">
      <alignment horizontal="center"/>
    </xf>
    <xf numFmtId="165" fontId="4" fillId="0" borderId="1" xfId="1" applyNumberFormat="1" applyFont="1" applyBorder="1" applyAlignment="1">
      <alignment horizontal="left" indent="3"/>
    </xf>
    <xf numFmtId="44" fontId="16" fillId="19" borderId="1" xfId="2" applyFont="1" applyFill="1" applyBorder="1"/>
    <xf numFmtId="165" fontId="32" fillId="0" borderId="2" xfId="1" applyNumberFormat="1" applyFont="1" applyBorder="1"/>
    <xf numFmtId="44" fontId="32" fillId="0" borderId="2" xfId="2" applyFont="1" applyBorder="1"/>
    <xf numFmtId="165" fontId="32" fillId="0" borderId="2" xfId="1" applyNumberFormat="1" applyFont="1" applyBorder="1" applyAlignment="1">
      <alignment horizontal="left" indent="3"/>
    </xf>
    <xf numFmtId="165" fontId="1" fillId="0" borderId="12" xfId="1" applyNumberFormat="1" applyFont="1" applyBorder="1" applyAlignment="1">
      <alignment horizontal="left" indent="3"/>
    </xf>
    <xf numFmtId="165" fontId="4" fillId="0" borderId="2" xfId="1" applyNumberFormat="1" applyFont="1" applyBorder="1"/>
    <xf numFmtId="165" fontId="32" fillId="0" borderId="2" xfId="1" applyNumberFormat="1" applyFont="1" applyBorder="1" applyAlignment="1"/>
    <xf numFmtId="44" fontId="2" fillId="0" borderId="12" xfId="2" applyFont="1" applyBorder="1"/>
    <xf numFmtId="165" fontId="5" fillId="0" borderId="12" xfId="1" applyNumberFormat="1" applyFont="1" applyBorder="1"/>
    <xf numFmtId="165" fontId="32" fillId="0" borderId="12" xfId="1" applyNumberFormat="1" applyFont="1" applyBorder="1" applyAlignment="1">
      <alignment horizontal="left" indent="3"/>
    </xf>
    <xf numFmtId="165" fontId="4" fillId="0" borderId="0" xfId="1" applyNumberFormat="1" applyFont="1"/>
    <xf numFmtId="165" fontId="2" fillId="0" borderId="0" xfId="1" applyNumberFormat="1" applyFont="1" applyAlignment="1">
      <alignment horizontal="left"/>
    </xf>
    <xf numFmtId="44" fontId="32" fillId="0" borderId="1" xfId="2" applyFont="1" applyBorder="1"/>
    <xf numFmtId="165" fontId="1" fillId="0" borderId="1" xfId="1" applyNumberFormat="1" applyFont="1" applyBorder="1" applyAlignment="1">
      <alignment horizontal="left" indent="3"/>
    </xf>
    <xf numFmtId="165" fontId="32" fillId="0" borderId="1" xfId="1" applyNumberFormat="1" applyFont="1" applyBorder="1" applyAlignment="1"/>
    <xf numFmtId="49" fontId="8" fillId="0" borderId="0" xfId="1" applyNumberFormat="1" applyFont="1"/>
    <xf numFmtId="165" fontId="5" fillId="0" borderId="0" xfId="1" applyNumberFormat="1" applyFont="1" applyAlignment="1">
      <alignment horizontal="left" indent="1"/>
    </xf>
    <xf numFmtId="43" fontId="5" fillId="0" borderId="2" xfId="1" applyNumberFormat="1" applyFont="1" applyBorder="1"/>
    <xf numFmtId="43" fontId="32" fillId="0" borderId="2" xfId="1" applyNumberFormat="1" applyFont="1" applyBorder="1"/>
    <xf numFmtId="165" fontId="32" fillId="0" borderId="0" xfId="1" applyNumberFormat="1" applyFont="1" applyFill="1" applyAlignment="1">
      <alignment horizontal="left"/>
    </xf>
    <xf numFmtId="44" fontId="4" fillId="0" borderId="2" xfId="2" applyFont="1" applyBorder="1"/>
    <xf numFmtId="165" fontId="5" fillId="0" borderId="2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 applyFill="1" applyAlignment="1">
      <alignment horizontal="left"/>
    </xf>
    <xf numFmtId="165" fontId="8" fillId="0" borderId="2" xfId="1" applyNumberFormat="1" applyFont="1" applyBorder="1"/>
    <xf numFmtId="44" fontId="8" fillId="0" borderId="2" xfId="2" applyFont="1" applyBorder="1"/>
    <xf numFmtId="165" fontId="5" fillId="0" borderId="2" xfId="1" applyNumberFormat="1" applyFont="1" applyBorder="1" applyAlignment="1">
      <alignment horizontal="right"/>
    </xf>
    <xf numFmtId="43" fontId="5" fillId="0" borderId="12" xfId="1" applyNumberFormat="1" applyFont="1" applyBorder="1"/>
    <xf numFmtId="165" fontId="4" fillId="0" borderId="0" xfId="1" applyNumberFormat="1" applyFont="1" applyAlignment="1">
      <alignment horizontal="center"/>
    </xf>
    <xf numFmtId="44" fontId="2" fillId="4" borderId="0" xfId="2" applyFont="1" applyFill="1"/>
    <xf numFmtId="44" fontId="2" fillId="16" borderId="0" xfId="2" applyFont="1" applyFill="1"/>
    <xf numFmtId="165" fontId="32" fillId="15" borderId="0" xfId="1" applyNumberFormat="1" applyFont="1" applyFill="1"/>
    <xf numFmtId="44" fontId="8" fillId="20" borderId="0" xfId="2" applyFont="1" applyFill="1"/>
    <xf numFmtId="44" fontId="2" fillId="20" borderId="0" xfId="2" applyFont="1" applyFill="1"/>
    <xf numFmtId="44" fontId="5" fillId="21" borderId="0" xfId="2" applyFont="1" applyFill="1"/>
    <xf numFmtId="44" fontId="8" fillId="19" borderId="0" xfId="2" applyFont="1" applyFill="1"/>
    <xf numFmtId="44" fontId="2" fillId="19" borderId="0" xfId="2" applyFont="1" applyFill="1"/>
    <xf numFmtId="44" fontId="5" fillId="19" borderId="0" xfId="2" applyFont="1" applyFill="1"/>
    <xf numFmtId="165" fontId="32" fillId="0" borderId="0" xfId="1" applyNumberFormat="1" applyFont="1" applyFill="1"/>
    <xf numFmtId="44" fontId="34" fillId="0" borderId="2" xfId="2" applyFont="1" applyBorder="1"/>
    <xf numFmtId="44" fontId="34" fillId="0" borderId="0" xfId="2" applyFont="1" applyBorder="1"/>
    <xf numFmtId="44" fontId="2" fillId="0" borderId="0" xfId="2" applyNumberFormat="1" applyFont="1" applyBorder="1"/>
    <xf numFmtId="43" fontId="8" fillId="3" borderId="2" xfId="1" applyNumberFormat="1" applyFont="1" applyFill="1" applyBorder="1"/>
    <xf numFmtId="165" fontId="47" fillId="0" borderId="0" xfId="1" applyNumberFormat="1" applyFont="1" applyFill="1"/>
    <xf numFmtId="43" fontId="8" fillId="0" borderId="0" xfId="1" applyNumberFormat="1" applyFont="1" applyFill="1" applyAlignment="1">
      <alignment horizontal="left"/>
    </xf>
    <xf numFmtId="43" fontId="4" fillId="0" borderId="12" xfId="1" applyFont="1" applyBorder="1"/>
    <xf numFmtId="165" fontId="48" fillId="0" borderId="0" xfId="1" applyNumberFormat="1" applyFont="1" applyAlignment="1">
      <alignment horizontal="left" wrapText="1"/>
    </xf>
    <xf numFmtId="43" fontId="5" fillId="0" borderId="0" xfId="1" applyNumberFormat="1" applyFont="1" applyAlignment="1">
      <alignment horizontal="left"/>
    </xf>
    <xf numFmtId="165" fontId="47" fillId="0" borderId="0" xfId="1" applyNumberFormat="1" applyFont="1"/>
    <xf numFmtId="43" fontId="8" fillId="0" borderId="0" xfId="1" applyNumberFormat="1" applyFont="1" applyAlignment="1">
      <alignment horizontal="left"/>
    </xf>
    <xf numFmtId="165" fontId="42" fillId="0" borderId="0" xfId="1" applyNumberFormat="1" applyFont="1"/>
    <xf numFmtId="165" fontId="5" fillId="0" borderId="0" xfId="1" applyNumberFormat="1" applyFont="1" applyBorder="1"/>
    <xf numFmtId="43" fontId="8" fillId="23" borderId="2" xfId="1" applyNumberFormat="1" applyFont="1" applyFill="1" applyBorder="1" applyAlignment="1">
      <alignment horizontal="left"/>
    </xf>
    <xf numFmtId="165" fontId="34" fillId="0" borderId="0" xfId="1" applyNumberFormat="1" applyFont="1" applyBorder="1"/>
    <xf numFmtId="43" fontId="2" fillId="0" borderId="0" xfId="1" applyNumberFormat="1" applyFont="1" applyBorder="1" applyAlignment="1">
      <alignment horizontal="left"/>
    </xf>
    <xf numFmtId="43" fontId="5" fillId="0" borderId="0" xfId="1" applyFont="1"/>
    <xf numFmtId="49" fontId="2" fillId="15" borderId="0" xfId="0" applyNumberFormat="1" applyFont="1" applyFill="1" applyAlignment="1">
      <alignment horizontal="right"/>
    </xf>
    <xf numFmtId="49" fontId="1" fillId="15" borderId="0" xfId="0" applyNumberFormat="1" applyFont="1" applyFill="1" applyAlignment="1">
      <alignment horizontal="right"/>
    </xf>
    <xf numFmtId="49" fontId="2" fillId="0" borderId="0" xfId="0" applyNumberFormat="1" applyFont="1" applyAlignment="1">
      <alignment horizontal="center"/>
    </xf>
    <xf numFmtId="43" fontId="8" fillId="0" borderId="0" xfId="1" applyNumberFormat="1" applyFont="1" applyBorder="1" applyAlignment="1">
      <alignment horizontal="left"/>
    </xf>
    <xf numFmtId="0" fontId="5" fillId="0" borderId="0" xfId="1" applyNumberFormat="1" applyFont="1"/>
    <xf numFmtId="15" fontId="5" fillId="0" borderId="0" xfId="1" applyNumberFormat="1" applyFont="1"/>
    <xf numFmtId="49" fontId="2" fillId="7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4" fillId="0" borderId="3" xfId="1" applyNumberFormat="1" applyFont="1" applyBorder="1"/>
    <xf numFmtId="49" fontId="1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center"/>
    </xf>
    <xf numFmtId="43" fontId="8" fillId="0" borderId="0" xfId="1" applyFont="1"/>
    <xf numFmtId="165" fontId="32" fillId="0" borderId="0" xfId="1" applyNumberFormat="1" applyFont="1" applyAlignment="1">
      <alignment horizontal="right"/>
    </xf>
    <xf numFmtId="43" fontId="8" fillId="0" borderId="0" xfId="1" applyFont="1" applyFill="1"/>
    <xf numFmtId="43" fontId="8" fillId="0" borderId="12" xfId="1" applyNumberFormat="1" applyFont="1" applyBorder="1" applyAlignment="1">
      <alignment vertical="center"/>
    </xf>
    <xf numFmtId="165" fontId="8" fillId="0" borderId="0" xfId="1" applyNumberFormat="1" applyFont="1" applyBorder="1"/>
    <xf numFmtId="43" fontId="8" fillId="0" borderId="0" xfId="1" applyNumberFormat="1" applyFont="1" applyBorder="1"/>
    <xf numFmtId="171" fontId="34" fillId="0" borderId="0" xfId="1" applyNumberFormat="1" applyFont="1"/>
    <xf numFmtId="171" fontId="5" fillId="0" borderId="0" xfId="1" applyNumberFormat="1" applyFont="1"/>
    <xf numFmtId="0" fontId="1" fillId="0" borderId="0" xfId="3"/>
    <xf numFmtId="0" fontId="1" fillId="0" borderId="0" xfId="3" applyFill="1"/>
    <xf numFmtId="165" fontId="5" fillId="0" borderId="0" xfId="4" applyNumberFormat="1" applyFont="1" applyFill="1"/>
    <xf numFmtId="0" fontId="1" fillId="0" borderId="0" xfId="3" applyFill="1" applyAlignment="1">
      <alignment horizontal="center"/>
    </xf>
    <xf numFmtId="44" fontId="1" fillId="0" borderId="0" xfId="3" applyNumberFormat="1" applyFill="1"/>
    <xf numFmtId="0" fontId="9" fillId="0" borderId="0" xfId="3" applyFont="1" applyFill="1" applyAlignment="1">
      <alignment horizontal="center"/>
    </xf>
    <xf numFmtId="0" fontId="9" fillId="0" borderId="10" xfId="3" applyFont="1" applyFill="1" applyBorder="1" applyAlignment="1">
      <alignment horizontal="center"/>
    </xf>
    <xf numFmtId="0" fontId="2" fillId="0" borderId="0" xfId="3" applyFont="1" applyFill="1" applyAlignment="1">
      <alignment horizontal="right"/>
    </xf>
    <xf numFmtId="44" fontId="2" fillId="0" borderId="0" xfId="3" applyNumberFormat="1" applyFont="1" applyFill="1" applyAlignment="1">
      <alignment horizontal="right"/>
    </xf>
    <xf numFmtId="165" fontId="1" fillId="0" borderId="0" xfId="4" applyNumberFormat="1" applyFont="1" applyFill="1"/>
    <xf numFmtId="44" fontId="2" fillId="0" borderId="0" xfId="3" applyNumberFormat="1" applyFont="1" applyFill="1"/>
    <xf numFmtId="44" fontId="2" fillId="0" borderId="4" xfId="3" applyNumberFormat="1" applyFont="1" applyFill="1" applyBorder="1"/>
    <xf numFmtId="0" fontId="2" fillId="0" borderId="0" xfId="3" applyFont="1" applyFill="1"/>
    <xf numFmtId="49" fontId="7" fillId="0" borderId="4" xfId="3" applyNumberFormat="1" applyFont="1" applyFill="1" applyBorder="1" applyAlignment="1">
      <alignment horizontal="center"/>
    </xf>
    <xf numFmtId="49" fontId="7" fillId="0" borderId="0" xfId="3" applyNumberFormat="1" applyFont="1" applyFill="1" applyAlignment="1">
      <alignment horizontal="center"/>
    </xf>
    <xf numFmtId="44" fontId="9" fillId="0" borderId="4" xfId="3" applyNumberFormat="1" applyFont="1" applyFill="1" applyBorder="1" applyAlignment="1">
      <alignment horizontal="center"/>
    </xf>
    <xf numFmtId="44" fontId="2" fillId="0" borderId="8" xfId="3" applyNumberFormat="1" applyFont="1" applyFill="1" applyBorder="1" applyAlignment="1">
      <alignment horizontal="left"/>
    </xf>
    <xf numFmtId="44" fontId="2" fillId="0" borderId="0" xfId="3" applyNumberFormat="1" applyFont="1" applyFill="1" applyAlignment="1">
      <alignment horizontal="center"/>
    </xf>
    <xf numFmtId="0" fontId="2" fillId="0" borderId="4" xfId="3" applyFont="1" applyFill="1" applyBorder="1"/>
    <xf numFmtId="0" fontId="2" fillId="0" borderId="8" xfId="3" applyFont="1" applyFill="1" applyBorder="1"/>
    <xf numFmtId="44" fontId="8" fillId="0" borderId="2" xfId="3" applyNumberFormat="1" applyFont="1" applyFill="1" applyBorder="1"/>
    <xf numFmtId="44" fontId="8" fillId="0" borderId="9" xfId="3" applyNumberFormat="1" applyFont="1" applyFill="1" applyBorder="1"/>
    <xf numFmtId="0" fontId="4" fillId="0" borderId="2" xfId="3" applyFont="1" applyFill="1" applyBorder="1"/>
    <xf numFmtId="0" fontId="8" fillId="0" borderId="2" xfId="3" applyFont="1" applyFill="1" applyBorder="1" applyAlignment="1">
      <alignment horizontal="left" indent="1"/>
    </xf>
    <xf numFmtId="44" fontId="2" fillId="0" borderId="0" xfId="5" applyFont="1" applyFill="1"/>
    <xf numFmtId="44" fontId="2" fillId="0" borderId="4" xfId="5" applyFont="1" applyFill="1" applyBorder="1"/>
    <xf numFmtId="0" fontId="2" fillId="0" borderId="1" xfId="3" applyFont="1" applyFill="1" applyBorder="1"/>
    <xf numFmtId="0" fontId="2" fillId="0" borderId="1" xfId="3" applyFont="1" applyFill="1" applyBorder="1" applyAlignment="1"/>
    <xf numFmtId="44" fontId="2" fillId="0" borderId="0" xfId="5" applyFont="1" applyFill="1" applyBorder="1"/>
    <xf numFmtId="0" fontId="2" fillId="0" borderId="8" xfId="5" applyNumberFormat="1" applyFont="1" applyFill="1" applyBorder="1" applyAlignment="1">
      <alignment horizontal="left"/>
    </xf>
    <xf numFmtId="44" fontId="2" fillId="0" borderId="8" xfId="5" applyFont="1" applyFill="1" applyBorder="1"/>
    <xf numFmtId="0" fontId="2" fillId="0" borderId="0" xfId="3" applyFont="1" applyFill="1" applyAlignment="1"/>
    <xf numFmtId="44" fontId="2" fillId="0" borderId="7" xfId="5" applyFont="1" applyFill="1" applyBorder="1"/>
    <xf numFmtId="44" fontId="2" fillId="0" borderId="1" xfId="3" applyNumberFormat="1" applyFont="1" applyFill="1" applyBorder="1"/>
    <xf numFmtId="44" fontId="2" fillId="0" borderId="5" xfId="5" applyFont="1" applyFill="1" applyBorder="1"/>
    <xf numFmtId="44" fontId="2" fillId="0" borderId="1" xfId="5" applyFont="1" applyFill="1" applyBorder="1"/>
    <xf numFmtId="44" fontId="2" fillId="0" borderId="6" xfId="3" applyNumberFormat="1" applyFont="1" applyFill="1" applyBorder="1" applyAlignment="1">
      <alignment horizontal="center"/>
    </xf>
    <xf numFmtId="44" fontId="2" fillId="0" borderId="4" xfId="3" applyNumberFormat="1" applyFont="1" applyFill="1" applyBorder="1" applyAlignment="1">
      <alignment horizontal="center"/>
    </xf>
    <xf numFmtId="44" fontId="2" fillId="0" borderId="0" xfId="3" applyNumberFormat="1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/>
    </xf>
    <xf numFmtId="0" fontId="2" fillId="0" borderId="5" xfId="3" applyFont="1" applyFill="1" applyBorder="1" applyAlignment="1">
      <alignment horizontal="center"/>
    </xf>
    <xf numFmtId="0" fontId="8" fillId="0" borderId="1" xfId="3" applyFont="1" applyFill="1" applyBorder="1"/>
    <xf numFmtId="0" fontId="7" fillId="0" borderId="0" xfId="3" applyFont="1" applyFill="1" applyBorder="1" applyAlignment="1">
      <alignment horizontal="center"/>
    </xf>
    <xf numFmtId="0" fontId="7" fillId="0" borderId="4" xfId="3" applyFont="1" applyFill="1" applyBorder="1" applyAlignment="1">
      <alignment horizontal="center"/>
    </xf>
    <xf numFmtId="0" fontId="1" fillId="0" borderId="1" xfId="3" applyFill="1" applyBorder="1" applyAlignment="1">
      <alignment horizontal="center"/>
    </xf>
    <xf numFmtId="0" fontId="1" fillId="0" borderId="3" xfId="3" applyFill="1" applyBorder="1" applyAlignment="1">
      <alignment horizontal="center"/>
    </xf>
    <xf numFmtId="0" fontId="1" fillId="0" borderId="1" xfId="3" applyFill="1" applyBorder="1" applyAlignment="1">
      <alignment horizontal="center"/>
    </xf>
    <xf numFmtId="164" fontId="6" fillId="0" borderId="0" xfId="3" applyNumberFormat="1" applyFont="1" applyFill="1" applyBorder="1" applyAlignment="1"/>
    <xf numFmtId="164" fontId="6" fillId="0" borderId="0" xfId="3" applyNumberFormat="1" applyFont="1" applyFill="1" applyBorder="1" applyAlignment="1">
      <alignment horizontal="left"/>
    </xf>
    <xf numFmtId="0" fontId="6" fillId="0" borderId="0" xfId="3" applyFont="1" applyFill="1" applyAlignment="1"/>
    <xf numFmtId="0" fontId="4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/>
    </xf>
  </cellXfs>
  <cellStyles count="6">
    <cellStyle name="Comma" xfId="1" builtinId="3"/>
    <cellStyle name="Comma 3" xfId="4" xr:uid="{D43091CD-5D5F-468D-89D1-8CD7728CF59E}"/>
    <cellStyle name="Currency" xfId="2" builtinId="4"/>
    <cellStyle name="Currency 3" xfId="5" xr:uid="{5CEFA554-F8C3-4F38-BE13-F5A9B0C6E1E5}"/>
    <cellStyle name="Normal" xfId="0" builtinId="0"/>
    <cellStyle name="Normal 3" xfId="3" xr:uid="{ED71D4E4-5661-4C31-8CE9-DE0C24A7D5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19\11-2019\Core%20GC%20Allocations%2011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GASCOST\Gas%20Cost%20CY2019\Gas%20Supply%20Analysis\10-2019%20Gas%20Supply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19\11-2019\WA\UG-190773%20CNGC%20Monthly%20PGA%20Rpt%20November%202019,%2012.30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WA Rates Old Rates"/>
      <sheetName val="OR Rates 2015"/>
      <sheetName val="OR Deferrals Incl true-up 2"/>
      <sheetName val="WA Rates - old Rates"/>
      <sheetName val="OR Rates Old Rates"/>
      <sheetName val="OR Deferrals"/>
      <sheetName val="WA Rates - 2018"/>
      <sheetName val="WA Rates"/>
      <sheetName val="OR Rates 2018"/>
      <sheetName val="OR Rates"/>
      <sheetName val="Core Cost Incurre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7">
          <cell r="K47">
            <v>207837.39999999991</v>
          </cell>
        </row>
      </sheetData>
      <sheetData sheetId="9">
        <row r="47">
          <cell r="K47">
            <v>7671917.0199999986</v>
          </cell>
        </row>
      </sheetData>
      <sheetData sheetId="10" refreshError="1"/>
      <sheetData sheetId="11" refreshError="1"/>
      <sheetData sheetId="12">
        <row r="2">
          <cell r="B2">
            <v>43794</v>
          </cell>
        </row>
        <row r="42">
          <cell r="K42">
            <v>10399163.649999999</v>
          </cell>
        </row>
        <row r="43">
          <cell r="K43">
            <v>3827726.9899999993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Gas - Accrual"/>
      <sheetName val="Core Gas - Actual"/>
      <sheetName val="Core Gas - True-Up"/>
      <sheetName val="Demand Charges"/>
      <sheetName val="Supplier Invoices"/>
    </sheetNames>
    <sheetDataSet>
      <sheetData sheetId="0"/>
      <sheetData sheetId="1"/>
      <sheetData sheetId="2"/>
      <sheetData sheetId="3"/>
      <sheetData sheetId="4">
        <row r="95">
          <cell r="Q95">
            <v>-530025.79154499946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6"/>
      <sheetName val="DG 2530.01289"/>
      <sheetName val="DG 2530.01288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2.20480"/>
      <sheetName val="RA 1860.20481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83B33-E5A1-426A-9A6F-9BA99384C0BB}">
  <dimension ref="B1:AL111"/>
  <sheetViews>
    <sheetView showGridLines="0" zoomScaleNormal="100" workbookViewId="0">
      <selection activeCell="G34" activeCellId="3" sqref="G28 G30 G32 G34"/>
    </sheetView>
  </sheetViews>
  <sheetFormatPr defaultRowHeight="12.75" x14ac:dyDescent="0.2"/>
  <cols>
    <col min="1" max="1" width="1.7109375" customWidth="1"/>
    <col min="2" max="2" width="21.7109375" style="3" customWidth="1"/>
    <col min="3" max="3" width="26.140625" style="22" customWidth="1"/>
    <col min="4" max="4" width="3.5703125" style="11" hidden="1" customWidth="1"/>
    <col min="5" max="5" width="4" style="11" bestFit="1" customWidth="1"/>
    <col min="6" max="6" width="13.7109375" style="11" customWidth="1"/>
    <col min="7" max="7" width="15" style="93" bestFit="1" customWidth="1"/>
    <col min="8" max="8" width="12.140625" style="69" customWidth="1"/>
    <col min="9" max="9" width="11.85546875" style="69" bestFit="1" customWidth="1"/>
    <col min="10" max="10" width="14" style="69" bestFit="1" customWidth="1"/>
    <col min="11" max="12" width="16.140625" style="69" bestFit="1" customWidth="1"/>
    <col min="13" max="13" width="14.5703125" style="69" bestFit="1" customWidth="1"/>
    <col min="14" max="14" width="16.85546875" style="69" bestFit="1" customWidth="1"/>
    <col min="15" max="15" width="8.28515625" style="69" bestFit="1" customWidth="1"/>
    <col min="16" max="16" width="1.7109375" customWidth="1"/>
    <col min="17" max="17" width="16.42578125" hidden="1" customWidth="1"/>
    <col min="18" max="18" width="14.7109375" hidden="1" customWidth="1"/>
    <col min="19" max="19" width="9.7109375" hidden="1" customWidth="1"/>
    <col min="20" max="20" width="13.85546875" hidden="1" customWidth="1"/>
    <col min="21" max="21" width="12.85546875" hidden="1" customWidth="1"/>
    <col min="22" max="29" width="9.7109375" customWidth="1"/>
    <col min="30" max="30" width="25.28515625" customWidth="1"/>
    <col min="31" max="31" width="19.28515625" bestFit="1" customWidth="1"/>
    <col min="32" max="32" width="11.42578125" bestFit="1" customWidth="1"/>
    <col min="33" max="33" width="17" bestFit="1" customWidth="1"/>
    <col min="34" max="34" width="14.7109375" customWidth="1"/>
    <col min="36" max="36" width="17" bestFit="1" customWidth="1"/>
    <col min="37" max="37" width="13.85546875" bestFit="1" customWidth="1"/>
    <col min="38" max="38" width="31.7109375" customWidth="1"/>
  </cols>
  <sheetData>
    <row r="1" spans="2:38" ht="14.25" customHeight="1" x14ac:dyDescent="0.2">
      <c r="B1" s="9" t="s">
        <v>24</v>
      </c>
      <c r="C1" s="10"/>
      <c r="E1" s="12" t="s">
        <v>124</v>
      </c>
      <c r="F1" s="12"/>
      <c r="G1" s="12"/>
      <c r="H1" s="12"/>
      <c r="I1" s="12"/>
      <c r="J1" s="12"/>
      <c r="K1" s="12"/>
      <c r="L1" s="13"/>
      <c r="M1" s="13"/>
      <c r="N1" s="13"/>
      <c r="O1" s="13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</row>
    <row r="2" spans="2:38" ht="14.25" customHeight="1" x14ac:dyDescent="0.25">
      <c r="B2" s="9" t="s">
        <v>25</v>
      </c>
      <c r="C2" s="10"/>
      <c r="D2" s="14"/>
      <c r="E2" s="12"/>
      <c r="F2" s="12"/>
      <c r="G2" s="12"/>
      <c r="H2" s="12"/>
      <c r="I2" s="12"/>
      <c r="J2" s="12"/>
      <c r="K2" s="12"/>
      <c r="L2" s="15" t="s">
        <v>26</v>
      </c>
      <c r="M2" s="15"/>
      <c r="N2" s="15"/>
      <c r="O2" s="15"/>
      <c r="P2" s="15"/>
    </row>
    <row r="3" spans="2:38" ht="14.25" customHeight="1" x14ac:dyDescent="0.25">
      <c r="B3" s="16" t="s">
        <v>27</v>
      </c>
      <c r="C3" s="16"/>
      <c r="D3" s="14"/>
      <c r="E3" s="17"/>
      <c r="F3" s="18">
        <f>'Core Cost Incurred'!B2</f>
        <v>43794</v>
      </c>
      <c r="G3" s="18"/>
      <c r="H3" s="18"/>
      <c r="I3" s="18"/>
      <c r="J3" s="18"/>
      <c r="K3" s="18"/>
      <c r="L3" s="19" t="s">
        <v>28</v>
      </c>
      <c r="M3" s="19"/>
      <c r="N3" s="19"/>
      <c r="O3" s="19"/>
      <c r="P3" s="19"/>
    </row>
    <row r="4" spans="2:38" ht="14.25" customHeight="1" x14ac:dyDescent="0.25">
      <c r="B4" s="20" t="s">
        <v>29</v>
      </c>
      <c r="C4" s="20"/>
      <c r="D4" s="14"/>
      <c r="E4" s="17"/>
      <c r="F4" s="18"/>
      <c r="G4" s="18"/>
      <c r="H4" s="18"/>
      <c r="I4" s="18"/>
      <c r="J4" s="18"/>
      <c r="K4" s="18"/>
      <c r="L4" s="21" t="s">
        <v>30</v>
      </c>
      <c r="M4" s="21"/>
      <c r="N4" s="21"/>
      <c r="O4" s="21"/>
      <c r="P4" s="21"/>
    </row>
    <row r="5" spans="2:38" ht="14.25" customHeight="1" x14ac:dyDescent="0.2">
      <c r="D5" s="14"/>
      <c r="E5" s="17"/>
      <c r="F5" s="17"/>
      <c r="G5" s="17"/>
      <c r="H5" s="17"/>
      <c r="I5" s="17"/>
      <c r="J5" s="17"/>
      <c r="K5" s="17"/>
      <c r="L5" s="13"/>
      <c r="M5" s="13"/>
      <c r="N5" s="13"/>
      <c r="O5" s="13"/>
      <c r="P5" s="13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2:38" ht="15" x14ac:dyDescent="0.25">
      <c r="B6" s="23"/>
      <c r="C6" s="24"/>
      <c r="D6" s="25"/>
      <c r="E6" s="25"/>
      <c r="F6" s="25"/>
      <c r="G6" s="26" t="s">
        <v>31</v>
      </c>
      <c r="H6" s="27" t="s">
        <v>3</v>
      </c>
      <c r="I6" s="27" t="s">
        <v>6</v>
      </c>
      <c r="J6" s="27" t="s">
        <v>32</v>
      </c>
      <c r="K6" s="27" t="s">
        <v>3</v>
      </c>
      <c r="L6" s="27" t="s">
        <v>6</v>
      </c>
      <c r="M6" s="27"/>
      <c r="N6" s="27" t="s">
        <v>12</v>
      </c>
      <c r="O6" s="28"/>
      <c r="Q6" s="29"/>
      <c r="R6" s="34">
        <v>200294.94</v>
      </c>
      <c r="S6" s="29"/>
      <c r="T6" s="29"/>
      <c r="U6" s="34">
        <v>140046.39000000001</v>
      </c>
      <c r="V6" s="29"/>
      <c r="W6" s="29"/>
      <c r="X6" s="29"/>
      <c r="Y6" s="29"/>
      <c r="Z6" s="29"/>
      <c r="AA6" s="29"/>
      <c r="AB6" s="29"/>
      <c r="AC6" s="29"/>
      <c r="AD6" s="30"/>
    </row>
    <row r="7" spans="2:38" ht="15" x14ac:dyDescent="0.25">
      <c r="B7" s="31"/>
      <c r="C7" s="32"/>
      <c r="D7" s="33"/>
      <c r="E7" s="33"/>
      <c r="F7" s="31" t="s">
        <v>33</v>
      </c>
      <c r="G7" s="26" t="s">
        <v>34</v>
      </c>
      <c r="H7" s="27" t="s">
        <v>35</v>
      </c>
      <c r="I7" s="27" t="s">
        <v>35</v>
      </c>
      <c r="J7" s="27" t="s">
        <v>11</v>
      </c>
      <c r="K7" s="27" t="s">
        <v>36</v>
      </c>
      <c r="L7" s="27" t="s">
        <v>36</v>
      </c>
      <c r="M7" s="27" t="s">
        <v>32</v>
      </c>
      <c r="N7" s="27" t="s">
        <v>32</v>
      </c>
      <c r="O7" s="28"/>
      <c r="Q7" s="34">
        <v>11214374</v>
      </c>
      <c r="R7" s="34">
        <f>2345597.06+78799.97+56688.77</f>
        <v>2481085.8000000003</v>
      </c>
      <c r="S7" s="29"/>
      <c r="T7" s="34">
        <v>2845776</v>
      </c>
      <c r="U7" s="34">
        <v>459339.89</v>
      </c>
      <c r="V7" s="29"/>
      <c r="W7" s="29"/>
      <c r="X7" s="29"/>
      <c r="Y7" s="29"/>
      <c r="Z7" s="29"/>
      <c r="AA7" s="29"/>
      <c r="AB7" s="29"/>
      <c r="AC7" s="29"/>
      <c r="AD7" s="35"/>
      <c r="AE7" s="2"/>
    </row>
    <row r="8" spans="2:38" s="43" customFormat="1" x14ac:dyDescent="0.2">
      <c r="B8" s="36"/>
      <c r="C8" s="37"/>
      <c r="D8" s="36" t="s">
        <v>37</v>
      </c>
      <c r="E8" s="36" t="s">
        <v>38</v>
      </c>
      <c r="F8" s="36" t="s">
        <v>38</v>
      </c>
      <c r="G8" s="38" t="s">
        <v>39</v>
      </c>
      <c r="H8" s="39" t="s">
        <v>125</v>
      </c>
      <c r="I8" s="39" t="str">
        <f>+H8</f>
        <v>Nov 1 2019</v>
      </c>
      <c r="J8" s="39" t="str">
        <f>I8</f>
        <v>Nov 1 2019</v>
      </c>
      <c r="K8" s="40" t="s">
        <v>40</v>
      </c>
      <c r="L8" s="40" t="s">
        <v>40</v>
      </c>
      <c r="M8" s="40" t="s">
        <v>11</v>
      </c>
      <c r="N8" s="40" t="s">
        <v>40</v>
      </c>
      <c r="O8" s="28"/>
      <c r="P8"/>
      <c r="V8" s="29"/>
      <c r="W8" s="29"/>
      <c r="X8" s="29"/>
      <c r="Y8" s="29"/>
      <c r="Z8" s="29"/>
      <c r="AA8" s="29"/>
      <c r="AB8" s="29"/>
      <c r="AC8" s="29"/>
      <c r="AD8" s="41"/>
      <c r="AE8" s="2" t="s">
        <v>41</v>
      </c>
      <c r="AF8" s="2" t="s">
        <v>42</v>
      </c>
      <c r="AG8" s="2" t="s">
        <v>43</v>
      </c>
      <c r="AH8" s="42" t="s">
        <v>0</v>
      </c>
      <c r="AI8" s="2" t="s">
        <v>44</v>
      </c>
      <c r="AJ8" s="2" t="s">
        <v>45</v>
      </c>
      <c r="AK8" s="2" t="s">
        <v>46</v>
      </c>
      <c r="AL8" s="2" t="s">
        <v>47</v>
      </c>
    </row>
    <row r="9" spans="2:38" ht="15.75" hidden="1" x14ac:dyDescent="0.25">
      <c r="B9" s="44" t="s">
        <v>48</v>
      </c>
      <c r="C9" s="22" t="s">
        <v>51</v>
      </c>
      <c r="D9" s="45">
        <v>1</v>
      </c>
      <c r="E9" s="11" t="s">
        <v>52</v>
      </c>
      <c r="F9" s="46" t="s">
        <v>53</v>
      </c>
      <c r="G9" s="47">
        <v>0</v>
      </c>
      <c r="H9" s="48"/>
      <c r="I9" s="48"/>
      <c r="J9" s="48"/>
      <c r="K9" s="49">
        <f>ROUND(H9*G9,2)</f>
        <v>0</v>
      </c>
      <c r="L9" s="49">
        <f>ROUND(G9*I9,2)</f>
        <v>0</v>
      </c>
      <c r="M9" s="54">
        <f>ROUND(G9*J9,2)</f>
        <v>0</v>
      </c>
      <c r="N9" s="49">
        <f>SUM(K9:M9)</f>
        <v>0</v>
      </c>
      <c r="O9" s="51"/>
      <c r="Q9" s="55">
        <f>+-1529533-194708</f>
        <v>-1724241</v>
      </c>
      <c r="R9" s="55">
        <f>+-304369.99-70364.48</f>
        <v>-374734.47</v>
      </c>
      <c r="S9" s="52"/>
      <c r="T9" s="56">
        <f>+-505447-64182</f>
        <v>-569629</v>
      </c>
      <c r="U9" s="56">
        <f>+-100581.61-23194.4</f>
        <v>-123776.01000000001</v>
      </c>
      <c r="V9" s="52"/>
      <c r="W9" s="52"/>
      <c r="X9" s="52"/>
      <c r="Y9" s="52"/>
      <c r="Z9" s="52"/>
      <c r="AA9" s="52"/>
      <c r="AB9" s="52"/>
      <c r="AC9" s="52"/>
      <c r="AD9" s="29"/>
      <c r="AE9" t="s">
        <v>50</v>
      </c>
      <c r="AH9" s="29">
        <v>0</v>
      </c>
      <c r="AL9" t="s">
        <v>54</v>
      </c>
    </row>
    <row r="10" spans="2:38" ht="15.75" x14ac:dyDescent="0.25">
      <c r="B10" s="44" t="s">
        <v>48</v>
      </c>
      <c r="C10" s="22" t="s">
        <v>55</v>
      </c>
      <c r="D10" s="45">
        <v>1</v>
      </c>
      <c r="E10" s="11" t="s">
        <v>56</v>
      </c>
      <c r="F10" s="46" t="s">
        <v>57</v>
      </c>
      <c r="G10" s="57">
        <v>4006834</v>
      </c>
      <c r="H10" s="48">
        <v>0.24510999999999999</v>
      </c>
      <c r="I10" s="48">
        <v>0.17580000000000001</v>
      </c>
      <c r="J10" s="48">
        <f>0.05671+0.07276</f>
        <v>0.12947</v>
      </c>
      <c r="K10" s="49">
        <f>ROUND(H10*G10,2)</f>
        <v>982115.08</v>
      </c>
      <c r="L10" s="49">
        <f>ROUND(G10*I10,2)</f>
        <v>704401.42</v>
      </c>
      <c r="M10" s="54">
        <f>ROUND(G10*J10,2)</f>
        <v>518764.79999999999</v>
      </c>
      <c r="N10" s="50">
        <f>SUM(K10:M10)</f>
        <v>2205281.2999999998</v>
      </c>
      <c r="O10" s="51"/>
      <c r="Q10" s="56"/>
      <c r="R10" s="56"/>
      <c r="S10" s="56"/>
      <c r="T10" s="56"/>
      <c r="U10" s="56"/>
      <c r="V10" s="52"/>
      <c r="W10" s="52"/>
      <c r="X10" s="52"/>
      <c r="Y10" s="52"/>
      <c r="Z10" s="52"/>
      <c r="AA10" s="52"/>
      <c r="AB10" s="52"/>
      <c r="AC10" s="52"/>
      <c r="AD10" s="29"/>
      <c r="AE10" t="s">
        <v>50</v>
      </c>
      <c r="AH10" s="29">
        <v>0</v>
      </c>
      <c r="AL10" t="s">
        <v>58</v>
      </c>
    </row>
    <row r="11" spans="2:38" ht="15.75" x14ac:dyDescent="0.25">
      <c r="B11" s="44" t="s">
        <v>59</v>
      </c>
      <c r="C11" s="22" t="s">
        <v>60</v>
      </c>
      <c r="D11" s="45">
        <v>1</v>
      </c>
      <c r="E11" s="11" t="s">
        <v>56</v>
      </c>
      <c r="F11" s="46" t="s">
        <v>57</v>
      </c>
      <c r="G11" s="111"/>
      <c r="H11" s="53">
        <f>$H$10</f>
        <v>0.24510999999999999</v>
      </c>
      <c r="I11" s="53">
        <f>$I$10</f>
        <v>0.17580000000000001</v>
      </c>
      <c r="J11" s="53">
        <f>+$J$10</f>
        <v>0.12947</v>
      </c>
      <c r="K11" s="49">
        <f>ROUND(H11*G11,2)</f>
        <v>0</v>
      </c>
      <c r="L11" s="49">
        <f>ROUND(G11*I11,2)</f>
        <v>0</v>
      </c>
      <c r="M11" s="54"/>
      <c r="N11" s="50">
        <f>SUM(K11:M11)</f>
        <v>0</v>
      </c>
      <c r="O11" s="51"/>
      <c r="Q11" s="59"/>
      <c r="R11" s="59"/>
      <c r="S11" s="59"/>
      <c r="T11" s="59"/>
      <c r="U11" s="59"/>
      <c r="V11" s="60"/>
      <c r="W11" s="60"/>
      <c r="X11" s="60"/>
      <c r="Y11" s="60"/>
      <c r="Z11" s="60"/>
      <c r="AA11" s="60"/>
      <c r="AB11" s="60"/>
      <c r="AC11" s="60"/>
      <c r="AD11" s="29"/>
      <c r="AE11" t="s">
        <v>50</v>
      </c>
      <c r="AH11" s="29">
        <v>0</v>
      </c>
      <c r="AL11" t="s">
        <v>58</v>
      </c>
    </row>
    <row r="12" spans="2:38" ht="15.75" x14ac:dyDescent="0.25">
      <c r="B12" s="44" t="s">
        <v>59</v>
      </c>
      <c r="C12" s="22" t="s">
        <v>61</v>
      </c>
      <c r="D12" s="45">
        <v>1</v>
      </c>
      <c r="E12" s="11" t="s">
        <v>56</v>
      </c>
      <c r="F12" s="46" t="s">
        <v>57</v>
      </c>
      <c r="G12" s="58">
        <v>11690320</v>
      </c>
      <c r="H12" s="53">
        <f>$H$10</f>
        <v>0.24510999999999999</v>
      </c>
      <c r="I12" s="53">
        <f>$I$10</f>
        <v>0.17580000000000001</v>
      </c>
      <c r="J12" s="53">
        <f>+$J$10</f>
        <v>0.12947</v>
      </c>
      <c r="K12" s="49">
        <f>ROUND(H12*G12,2)</f>
        <v>2865414.34</v>
      </c>
      <c r="L12" s="49">
        <f>ROUND(G12*I12,2)</f>
        <v>2055158.26</v>
      </c>
      <c r="M12" s="54"/>
      <c r="N12" s="50">
        <f>SUM(K12:M12)</f>
        <v>4920572.5999999996</v>
      </c>
      <c r="O12" s="51"/>
      <c r="Q12" s="59"/>
      <c r="R12" s="59"/>
      <c r="S12" s="59"/>
      <c r="T12" s="59"/>
      <c r="U12" s="59"/>
      <c r="V12" s="60"/>
      <c r="W12" s="60"/>
      <c r="X12" s="60"/>
      <c r="Y12" s="60"/>
      <c r="Z12" s="60"/>
      <c r="AA12" s="60"/>
      <c r="AB12" s="60"/>
      <c r="AC12" s="60"/>
      <c r="AD12" s="29"/>
      <c r="AE12" t="s">
        <v>50</v>
      </c>
      <c r="AH12" s="29">
        <v>0</v>
      </c>
      <c r="AL12" t="s">
        <v>58</v>
      </c>
    </row>
    <row r="13" spans="2:38" ht="12.2" customHeight="1" x14ac:dyDescent="0.2">
      <c r="B13" s="44"/>
      <c r="D13" s="45"/>
      <c r="F13" s="46"/>
      <c r="G13" s="47"/>
      <c r="H13" s="53"/>
      <c r="I13" s="53"/>
      <c r="J13" s="53"/>
      <c r="K13" s="49"/>
      <c r="L13" s="49"/>
      <c r="M13" s="54"/>
      <c r="N13" s="49"/>
      <c r="O13" s="51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29"/>
      <c r="AH13" s="29"/>
    </row>
    <row r="14" spans="2:38" ht="15.75" x14ac:dyDescent="0.25">
      <c r="B14" s="44" t="s">
        <v>62</v>
      </c>
      <c r="C14" s="22" t="s">
        <v>63</v>
      </c>
      <c r="D14" s="45">
        <v>2</v>
      </c>
      <c r="E14" s="11" t="s">
        <v>64</v>
      </c>
      <c r="F14" s="46" t="s">
        <v>65</v>
      </c>
      <c r="G14" s="57">
        <v>2589532</v>
      </c>
      <c r="H14" s="53">
        <f t="shared" ref="H14:H16" si="0">$H$10</f>
        <v>0.24510999999999999</v>
      </c>
      <c r="I14" s="48">
        <v>0.17316000000000001</v>
      </c>
      <c r="J14" s="53">
        <f t="shared" ref="J14:J16" si="1">+$J$10</f>
        <v>0.12947</v>
      </c>
      <c r="K14" s="49">
        <f>ROUND(H14*G14,2)</f>
        <v>634720.18999999994</v>
      </c>
      <c r="L14" s="49">
        <f>ROUND(G14*I14,2)</f>
        <v>448403.36</v>
      </c>
      <c r="M14" s="54">
        <f>ROUND(G14*J14,2)</f>
        <v>335266.71000000002</v>
      </c>
      <c r="N14" s="61">
        <f>SUM(K14:M14)</f>
        <v>1418390.2599999998</v>
      </c>
      <c r="O14" s="62">
        <v>-0.02</v>
      </c>
      <c r="Q14" s="52" t="s">
        <v>49</v>
      </c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29"/>
      <c r="AE14" t="s">
        <v>50</v>
      </c>
      <c r="AH14" s="29">
        <v>0</v>
      </c>
      <c r="AL14" t="s">
        <v>66</v>
      </c>
    </row>
    <row r="15" spans="2:38" ht="15.75" x14ac:dyDescent="0.25">
      <c r="B15" s="44" t="s">
        <v>67</v>
      </c>
      <c r="C15" s="22" t="s">
        <v>68</v>
      </c>
      <c r="D15" s="45">
        <v>2</v>
      </c>
      <c r="E15" s="11" t="s">
        <v>64</v>
      </c>
      <c r="F15" s="46" t="s">
        <v>65</v>
      </c>
      <c r="G15" s="111"/>
      <c r="H15" s="53">
        <f t="shared" si="0"/>
        <v>0.24510999999999999</v>
      </c>
      <c r="I15" s="53">
        <f>+$I$14</f>
        <v>0.17316000000000001</v>
      </c>
      <c r="J15" s="53">
        <f t="shared" si="1"/>
        <v>0.12947</v>
      </c>
      <c r="K15" s="49">
        <f>ROUND(H15*G15,2)</f>
        <v>0</v>
      </c>
      <c r="L15" s="49">
        <f>ROUND(G15*I15,2)</f>
        <v>0</v>
      </c>
      <c r="M15" s="54"/>
      <c r="N15" s="61">
        <f>SUM(K15:M15)</f>
        <v>0</v>
      </c>
      <c r="O15" s="62"/>
      <c r="Q15" s="60" t="s">
        <v>69</v>
      </c>
      <c r="R15" s="60">
        <f>101807.82+3135667.8</f>
        <v>3237475.6199999996</v>
      </c>
      <c r="S15" s="60"/>
      <c r="T15" s="60"/>
      <c r="U15" s="59">
        <f>242253.38+412186.68</f>
        <v>654440.06000000006</v>
      </c>
      <c r="V15" s="60"/>
      <c r="W15" s="60"/>
      <c r="X15" s="60"/>
      <c r="Y15" s="60"/>
      <c r="Z15" s="60"/>
      <c r="AA15" s="60"/>
      <c r="AB15" s="60"/>
      <c r="AC15" s="60"/>
      <c r="AD15" s="29"/>
      <c r="AE15" t="s">
        <v>50</v>
      </c>
      <c r="AH15" s="29">
        <v>0</v>
      </c>
      <c r="AL15" t="s">
        <v>66</v>
      </c>
    </row>
    <row r="16" spans="2:38" ht="15.75" x14ac:dyDescent="0.25">
      <c r="B16" s="44" t="s">
        <v>67</v>
      </c>
      <c r="C16" s="22" t="s">
        <v>70</v>
      </c>
      <c r="D16" s="45">
        <v>2</v>
      </c>
      <c r="E16" s="11" t="s">
        <v>64</v>
      </c>
      <c r="F16" s="46" t="s">
        <v>65</v>
      </c>
      <c r="G16" s="58">
        <v>10324809</v>
      </c>
      <c r="H16" s="53">
        <f t="shared" si="0"/>
        <v>0.24510999999999999</v>
      </c>
      <c r="I16" s="53">
        <f>+$I$14</f>
        <v>0.17316000000000001</v>
      </c>
      <c r="J16" s="53">
        <f t="shared" si="1"/>
        <v>0.12947</v>
      </c>
      <c r="K16" s="49">
        <f>ROUND(H16*G16,2)</f>
        <v>2530713.9300000002</v>
      </c>
      <c r="L16" s="49">
        <f>ROUND(G16*I16,2)</f>
        <v>1787843.93</v>
      </c>
      <c r="M16" s="54"/>
      <c r="N16" s="50">
        <f>SUM(K16:M16)</f>
        <v>4318557.8600000003</v>
      </c>
      <c r="O16" s="51"/>
      <c r="Q16" s="60" t="s">
        <v>69</v>
      </c>
      <c r="R16" s="60">
        <v>55387.57</v>
      </c>
      <c r="S16" s="60"/>
      <c r="T16" s="60"/>
      <c r="U16" s="59">
        <v>7182.43</v>
      </c>
      <c r="V16" s="60"/>
      <c r="W16" s="60"/>
      <c r="X16" s="60"/>
      <c r="Y16" s="60"/>
      <c r="Z16" s="60"/>
      <c r="AA16" s="60"/>
      <c r="AB16" s="60"/>
      <c r="AC16" s="60"/>
      <c r="AD16" s="29"/>
      <c r="AE16" t="s">
        <v>50</v>
      </c>
      <c r="AH16" s="29">
        <v>0</v>
      </c>
      <c r="AL16" t="s">
        <v>66</v>
      </c>
    </row>
    <row r="17" spans="2:38" ht="12.2" customHeight="1" x14ac:dyDescent="0.2">
      <c r="B17" s="44"/>
      <c r="D17" s="45"/>
      <c r="F17" s="46"/>
      <c r="G17" s="47"/>
      <c r="H17" s="53"/>
      <c r="I17" s="53"/>
      <c r="J17" s="53"/>
      <c r="K17" s="49"/>
      <c r="L17" s="49"/>
      <c r="M17" s="54"/>
      <c r="N17" s="49"/>
      <c r="O17" s="51"/>
      <c r="Q17" s="4"/>
      <c r="R17" s="4"/>
      <c r="S17" s="4"/>
      <c r="T17" s="4"/>
      <c r="U17" s="56"/>
      <c r="V17" s="4"/>
      <c r="W17" s="4"/>
      <c r="X17" s="4"/>
      <c r="Y17" s="4"/>
      <c r="Z17" s="4"/>
      <c r="AA17" s="4"/>
      <c r="AB17" s="4"/>
      <c r="AC17" s="4"/>
      <c r="AD17" s="29"/>
      <c r="AH17" s="29"/>
    </row>
    <row r="18" spans="2:38" ht="15.75" x14ac:dyDescent="0.25">
      <c r="B18" s="44" t="s">
        <v>62</v>
      </c>
      <c r="C18" s="22" t="s">
        <v>71</v>
      </c>
      <c r="D18" s="45">
        <v>2</v>
      </c>
      <c r="E18" s="11" t="s">
        <v>72</v>
      </c>
      <c r="F18" s="46" t="s">
        <v>73</v>
      </c>
      <c r="G18" s="57">
        <v>410158</v>
      </c>
      <c r="H18" s="53">
        <f t="shared" ref="H18:H24" si="2">$H$10</f>
        <v>0.24510999999999999</v>
      </c>
      <c r="I18" s="48">
        <v>0.16012999999999999</v>
      </c>
      <c r="J18" s="53">
        <f t="shared" ref="J18:J24" si="3">+$J$10</f>
        <v>0.12947</v>
      </c>
      <c r="K18" s="49">
        <f t="shared" ref="K18:K24" si="4">ROUND(H18*G18,2)</f>
        <v>100533.83</v>
      </c>
      <c r="L18" s="49">
        <f t="shared" ref="L18:L24" si="5">ROUND(G18*I18,2)</f>
        <v>65678.600000000006</v>
      </c>
      <c r="M18" s="54">
        <f t="shared" ref="M18:M24" si="6">ROUND(G18*J18,2)</f>
        <v>53103.16</v>
      </c>
      <c r="N18" s="63">
        <f t="shared" ref="N18:N24" si="7">SUM(K18:M18)</f>
        <v>219315.59</v>
      </c>
      <c r="O18" s="62">
        <v>2.0699999999999998</v>
      </c>
      <c r="Q18" s="52" t="s">
        <v>49</v>
      </c>
      <c r="R18" s="52">
        <v>625208.07999999996</v>
      </c>
      <c r="S18" s="52"/>
      <c r="T18" s="52"/>
      <c r="U18" s="56">
        <f>44136.69+5300</f>
        <v>49436.69</v>
      </c>
      <c r="V18" s="52"/>
      <c r="W18" s="52"/>
      <c r="X18" s="52"/>
      <c r="Y18" s="52"/>
      <c r="Z18" s="52"/>
      <c r="AA18" s="52"/>
      <c r="AB18" s="52"/>
      <c r="AC18" s="52"/>
      <c r="AD18" s="29"/>
      <c r="AE18" t="s">
        <v>50</v>
      </c>
      <c r="AH18" s="29">
        <v>0</v>
      </c>
      <c r="AL18" t="s">
        <v>74</v>
      </c>
    </row>
    <row r="19" spans="2:38" ht="15" x14ac:dyDescent="0.2">
      <c r="B19" s="44" t="s">
        <v>62</v>
      </c>
      <c r="C19" s="22" t="s">
        <v>75</v>
      </c>
      <c r="D19" s="45">
        <v>2</v>
      </c>
      <c r="E19" s="11" t="s">
        <v>76</v>
      </c>
      <c r="F19" s="46" t="s">
        <v>77</v>
      </c>
      <c r="G19" s="47"/>
      <c r="H19" s="53">
        <f t="shared" si="2"/>
        <v>0.24510999999999999</v>
      </c>
      <c r="I19" s="53">
        <f t="shared" ref="I19:I24" si="8">+$I$14</f>
        <v>0.17316000000000001</v>
      </c>
      <c r="J19" s="53">
        <f t="shared" si="3"/>
        <v>0.12947</v>
      </c>
      <c r="K19" s="49">
        <f t="shared" si="4"/>
        <v>0</v>
      </c>
      <c r="L19" s="49">
        <f t="shared" si="5"/>
        <v>0</v>
      </c>
      <c r="M19" s="54">
        <f t="shared" si="6"/>
        <v>0</v>
      </c>
      <c r="N19" s="50">
        <f>SUM(K19:M19)</f>
        <v>0</v>
      </c>
      <c r="O19" s="51">
        <v>0.01</v>
      </c>
      <c r="Q19" s="52" t="s">
        <v>49</v>
      </c>
      <c r="R19" s="52">
        <f>+-128.04-565547.01</f>
        <v>-565675.05000000005</v>
      </c>
      <c r="S19" s="52"/>
      <c r="T19" s="52"/>
      <c r="U19" s="56">
        <f>+-193.7-79036.58</f>
        <v>-79230.28</v>
      </c>
      <c r="V19" s="52"/>
      <c r="W19" s="52"/>
      <c r="X19" s="52"/>
      <c r="Y19" s="52"/>
      <c r="Z19" s="52"/>
      <c r="AA19" s="52"/>
      <c r="AB19" s="52"/>
      <c r="AC19" s="52"/>
      <c r="AD19" s="64"/>
      <c r="AE19" t="s">
        <v>50</v>
      </c>
      <c r="AH19" s="29">
        <v>0</v>
      </c>
      <c r="AL19" t="s">
        <v>78</v>
      </c>
    </row>
    <row r="20" spans="2:38" ht="15" x14ac:dyDescent="0.2">
      <c r="B20" s="44" t="s">
        <v>62</v>
      </c>
      <c r="C20" s="22" t="s">
        <v>79</v>
      </c>
      <c r="D20" s="45">
        <v>2</v>
      </c>
      <c r="E20" s="11" t="s">
        <v>52</v>
      </c>
      <c r="F20" s="46" t="s">
        <v>53</v>
      </c>
      <c r="G20" s="47">
        <v>0</v>
      </c>
      <c r="H20" s="53">
        <f t="shared" si="2"/>
        <v>0.24510999999999999</v>
      </c>
      <c r="I20" s="53">
        <f t="shared" si="8"/>
        <v>0.17316000000000001</v>
      </c>
      <c r="J20" s="53">
        <f t="shared" si="3"/>
        <v>0.12947</v>
      </c>
      <c r="K20" s="49">
        <f t="shared" si="4"/>
        <v>0</v>
      </c>
      <c r="L20" s="49">
        <f t="shared" si="5"/>
        <v>0</v>
      </c>
      <c r="M20" s="54">
        <f t="shared" si="6"/>
        <v>0</v>
      </c>
      <c r="N20" s="49">
        <f t="shared" si="7"/>
        <v>0</v>
      </c>
      <c r="O20" s="51"/>
      <c r="Q20" s="52" t="s">
        <v>49</v>
      </c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64"/>
      <c r="AE20" t="s">
        <v>50</v>
      </c>
      <c r="AH20" s="29">
        <v>0</v>
      </c>
      <c r="AL20" t="s">
        <v>80</v>
      </c>
    </row>
    <row r="21" spans="2:38" ht="15" x14ac:dyDescent="0.2">
      <c r="B21" s="44" t="s">
        <v>62</v>
      </c>
      <c r="C21" s="22" t="s">
        <v>71</v>
      </c>
      <c r="D21" s="45">
        <v>2</v>
      </c>
      <c r="E21" s="11" t="s">
        <v>72</v>
      </c>
      <c r="F21" s="46" t="s">
        <v>82</v>
      </c>
      <c r="G21" s="47"/>
      <c r="H21" s="53">
        <f t="shared" si="2"/>
        <v>0.24510999999999999</v>
      </c>
      <c r="I21" s="53">
        <f t="shared" si="8"/>
        <v>0.17316000000000001</v>
      </c>
      <c r="J21" s="53">
        <f t="shared" si="3"/>
        <v>0.12947</v>
      </c>
      <c r="K21" s="49">
        <f t="shared" si="4"/>
        <v>0</v>
      </c>
      <c r="L21" s="49">
        <f t="shared" si="5"/>
        <v>0</v>
      </c>
      <c r="M21" s="54">
        <f t="shared" si="6"/>
        <v>0</v>
      </c>
      <c r="N21" s="61">
        <f t="shared" si="7"/>
        <v>0</v>
      </c>
      <c r="O21" s="62"/>
      <c r="Q21" s="52" t="s">
        <v>49</v>
      </c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29"/>
      <c r="AE21" t="s">
        <v>50</v>
      </c>
      <c r="AH21" s="29">
        <v>0</v>
      </c>
      <c r="AL21" t="s">
        <v>74</v>
      </c>
    </row>
    <row r="22" spans="2:38" ht="15.75" x14ac:dyDescent="0.25">
      <c r="B22" s="112" t="s">
        <v>62</v>
      </c>
      <c r="C22" s="113" t="s">
        <v>71</v>
      </c>
      <c r="D22" s="114">
        <v>2</v>
      </c>
      <c r="E22" s="115" t="s">
        <v>72</v>
      </c>
      <c r="F22" s="115" t="s">
        <v>123</v>
      </c>
      <c r="G22" s="57"/>
      <c r="H22" s="53">
        <f t="shared" si="2"/>
        <v>0.24510999999999999</v>
      </c>
      <c r="I22" s="53">
        <f t="shared" si="8"/>
        <v>0.17316000000000001</v>
      </c>
      <c r="J22" s="53">
        <f t="shared" si="3"/>
        <v>0.12947</v>
      </c>
      <c r="K22" s="49">
        <f t="shared" si="4"/>
        <v>0</v>
      </c>
      <c r="L22" s="49">
        <f t="shared" si="5"/>
        <v>0</v>
      </c>
      <c r="M22" s="54">
        <f t="shared" si="6"/>
        <v>0</v>
      </c>
      <c r="N22" s="61">
        <f t="shared" si="7"/>
        <v>0</v>
      </c>
      <c r="O22" s="6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29"/>
      <c r="AH22" s="29"/>
    </row>
    <row r="23" spans="2:38" ht="15.75" x14ac:dyDescent="0.25">
      <c r="B23" s="44" t="s">
        <v>67</v>
      </c>
      <c r="C23" s="22" t="s">
        <v>81</v>
      </c>
      <c r="D23" s="45">
        <v>2</v>
      </c>
      <c r="E23" s="11" t="s">
        <v>72</v>
      </c>
      <c r="F23" s="46" t="s">
        <v>82</v>
      </c>
      <c r="G23" s="111"/>
      <c r="H23" s="53">
        <f t="shared" si="2"/>
        <v>0.24510999999999999</v>
      </c>
      <c r="I23" s="53">
        <f t="shared" si="8"/>
        <v>0.17316000000000001</v>
      </c>
      <c r="J23" s="53">
        <f t="shared" si="3"/>
        <v>0.12947</v>
      </c>
      <c r="K23" s="49">
        <f t="shared" si="4"/>
        <v>0</v>
      </c>
      <c r="L23" s="49">
        <f t="shared" si="5"/>
        <v>0</v>
      </c>
      <c r="M23" s="54">
        <f t="shared" si="6"/>
        <v>0</v>
      </c>
      <c r="N23" s="61">
        <f t="shared" si="7"/>
        <v>0</v>
      </c>
      <c r="O23" s="62"/>
      <c r="Q23" s="4"/>
      <c r="R23" s="4">
        <v>57899.56</v>
      </c>
      <c r="S23" s="4"/>
      <c r="T23" s="4"/>
      <c r="U23" s="56">
        <v>8091.98</v>
      </c>
      <c r="V23" s="4"/>
      <c r="W23" s="4"/>
      <c r="X23" s="4"/>
      <c r="Y23" s="4"/>
      <c r="Z23" s="4"/>
      <c r="AA23" s="4"/>
      <c r="AB23" s="4"/>
      <c r="AC23" s="4"/>
      <c r="AD23" s="66"/>
      <c r="AE23" t="s">
        <v>50</v>
      </c>
      <c r="AH23" s="29">
        <v>0</v>
      </c>
      <c r="AL23" t="s">
        <v>74</v>
      </c>
    </row>
    <row r="24" spans="2:38" ht="15" x14ac:dyDescent="0.2">
      <c r="B24" s="44" t="s">
        <v>67</v>
      </c>
      <c r="C24" s="22" t="s">
        <v>83</v>
      </c>
      <c r="D24" s="45">
        <v>2</v>
      </c>
      <c r="E24" s="11" t="s">
        <v>72</v>
      </c>
      <c r="F24" s="46" t="s">
        <v>82</v>
      </c>
      <c r="G24" s="70">
        <v>1502701</v>
      </c>
      <c r="H24" s="53">
        <f t="shared" si="2"/>
        <v>0.24510999999999999</v>
      </c>
      <c r="I24" s="53">
        <f t="shared" si="8"/>
        <v>0.17316000000000001</v>
      </c>
      <c r="J24" s="53">
        <f t="shared" si="3"/>
        <v>0.12947</v>
      </c>
      <c r="K24" s="49">
        <f t="shared" si="4"/>
        <v>368327.04</v>
      </c>
      <c r="L24" s="49">
        <f t="shared" si="5"/>
        <v>260207.71</v>
      </c>
      <c r="M24" s="54">
        <f t="shared" si="6"/>
        <v>194554.7</v>
      </c>
      <c r="N24" s="50">
        <f t="shared" si="7"/>
        <v>823089.45</v>
      </c>
      <c r="O24" s="51"/>
      <c r="Q24" s="4"/>
      <c r="R24" s="4">
        <v>61282.61</v>
      </c>
      <c r="S24" s="4"/>
      <c r="T24" s="4"/>
      <c r="U24" s="56">
        <v>6665.73</v>
      </c>
      <c r="V24" s="4"/>
      <c r="W24" s="4"/>
      <c r="X24" s="4"/>
      <c r="Y24" s="4"/>
      <c r="Z24" s="4"/>
      <c r="AA24" s="4"/>
      <c r="AB24" s="4"/>
      <c r="AC24" s="4"/>
      <c r="AD24" s="66"/>
      <c r="AE24" t="s">
        <v>50</v>
      </c>
      <c r="AH24" s="29">
        <v>0</v>
      </c>
      <c r="AL24" t="s">
        <v>74</v>
      </c>
    </row>
    <row r="25" spans="2:38" ht="12.2" customHeight="1" x14ac:dyDescent="0.2">
      <c r="B25" s="44"/>
      <c r="D25" s="45"/>
      <c r="F25" s="46"/>
      <c r="G25" s="67"/>
      <c r="H25" s="68"/>
      <c r="I25" s="53"/>
      <c r="J25" s="53"/>
      <c r="K25" s="49"/>
      <c r="L25" s="49"/>
      <c r="M25" s="54"/>
      <c r="N25" s="49"/>
      <c r="O25" s="51"/>
      <c r="Q25" s="4"/>
      <c r="R25" s="4"/>
      <c r="S25" s="4"/>
      <c r="T25" s="4"/>
      <c r="U25" s="56"/>
      <c r="V25" s="4"/>
      <c r="W25" s="4"/>
      <c r="X25" s="4"/>
      <c r="Y25" s="4"/>
      <c r="Z25" s="4"/>
      <c r="AA25" s="4"/>
      <c r="AB25" s="4"/>
      <c r="AC25" s="4"/>
      <c r="AD25" s="66"/>
      <c r="AH25" s="29"/>
    </row>
    <row r="26" spans="2:38" ht="15.75" x14ac:dyDescent="0.25">
      <c r="B26" s="44" t="s">
        <v>84</v>
      </c>
      <c r="C26" s="22" t="s">
        <v>85</v>
      </c>
      <c r="D26" s="45">
        <v>3</v>
      </c>
      <c r="E26" s="11" t="s">
        <v>86</v>
      </c>
      <c r="F26" s="46" t="s">
        <v>87</v>
      </c>
      <c r="G26" s="57">
        <v>352170</v>
      </c>
      <c r="H26" s="53">
        <f t="shared" ref="H26:H28" si="9">$H$10</f>
        <v>0.24510999999999999</v>
      </c>
      <c r="I26" s="53">
        <f>$I$18</f>
        <v>0.16012999999999999</v>
      </c>
      <c r="J26" s="53">
        <f t="shared" ref="J26:J28" si="10">+$J$10</f>
        <v>0.12947</v>
      </c>
      <c r="K26" s="49">
        <f>ROUND(H26*G26,2)</f>
        <v>86320.39</v>
      </c>
      <c r="L26" s="49">
        <f>ROUND(G26*I26,2)</f>
        <v>56392.98</v>
      </c>
      <c r="M26" s="54">
        <f>ROUND(G26*J26,2)</f>
        <v>45595.45</v>
      </c>
      <c r="N26" s="50">
        <f>SUM(K26:M26)</f>
        <v>188308.82</v>
      </c>
      <c r="O26" s="51">
        <v>-0.01</v>
      </c>
      <c r="Q26" s="52" t="s">
        <v>49</v>
      </c>
      <c r="R26" s="52">
        <v>49965.85</v>
      </c>
      <c r="S26" s="52"/>
      <c r="T26" s="52"/>
      <c r="U26" s="56">
        <v>5434.8</v>
      </c>
      <c r="V26" s="52"/>
      <c r="W26" s="52"/>
      <c r="X26" s="52"/>
      <c r="Y26" s="52"/>
      <c r="Z26" s="52"/>
      <c r="AA26" s="52"/>
      <c r="AB26" s="52"/>
      <c r="AC26" s="52"/>
      <c r="AD26" s="64"/>
      <c r="AE26" t="s">
        <v>50</v>
      </c>
      <c r="AH26" s="29">
        <v>0</v>
      </c>
      <c r="AL26" t="s">
        <v>88</v>
      </c>
    </row>
    <row r="27" spans="2:38" ht="15.75" x14ac:dyDescent="0.25">
      <c r="B27" s="44" t="s">
        <v>84</v>
      </c>
      <c r="C27" s="22" t="s">
        <v>89</v>
      </c>
      <c r="D27" s="45">
        <v>3</v>
      </c>
      <c r="E27" s="11" t="s">
        <v>72</v>
      </c>
      <c r="F27" s="46" t="s">
        <v>73</v>
      </c>
      <c r="G27" s="57">
        <v>192646</v>
      </c>
      <c r="H27" s="53">
        <f t="shared" si="9"/>
        <v>0.24510999999999999</v>
      </c>
      <c r="I27" s="53">
        <f>$I$18</f>
        <v>0.16012999999999999</v>
      </c>
      <c r="J27" s="53">
        <f t="shared" si="10"/>
        <v>0.12947</v>
      </c>
      <c r="K27" s="49">
        <f>ROUND(H27*G27,2)</f>
        <v>47219.46</v>
      </c>
      <c r="L27" s="49">
        <f>ROUND(G27*I27,2)</f>
        <v>30848.400000000001</v>
      </c>
      <c r="M27" s="54">
        <f>ROUND(G27*J27,2)</f>
        <v>24941.88</v>
      </c>
      <c r="N27" s="50">
        <f>SUM(K27:M27)</f>
        <v>103009.74</v>
      </c>
      <c r="O27" s="51"/>
      <c r="Q27" s="52" t="s">
        <v>49</v>
      </c>
      <c r="R27" s="52"/>
      <c r="S27" s="52"/>
      <c r="T27" s="52"/>
      <c r="U27" s="56"/>
      <c r="V27" s="52"/>
      <c r="W27" s="52"/>
      <c r="X27" s="52"/>
      <c r="Y27" s="52"/>
      <c r="Z27" s="52"/>
      <c r="AA27" s="52"/>
      <c r="AB27" s="52"/>
      <c r="AC27" s="52"/>
      <c r="AD27" s="64"/>
      <c r="AE27" t="s">
        <v>50</v>
      </c>
      <c r="AH27" s="29">
        <v>0</v>
      </c>
      <c r="AL27" t="s">
        <v>90</v>
      </c>
    </row>
    <row r="28" spans="2:38" ht="15" x14ac:dyDescent="0.2">
      <c r="B28" s="44" t="s">
        <v>84</v>
      </c>
      <c r="C28" s="22" t="s">
        <v>91</v>
      </c>
      <c r="D28" s="45">
        <v>3</v>
      </c>
      <c r="E28" s="11" t="s">
        <v>76</v>
      </c>
      <c r="F28" s="46" t="s">
        <v>77</v>
      </c>
      <c r="G28" s="47">
        <v>0</v>
      </c>
      <c r="H28" s="53">
        <f t="shared" si="9"/>
        <v>0.24510999999999999</v>
      </c>
      <c r="I28" s="53">
        <f>+$I$14</f>
        <v>0.17316000000000001</v>
      </c>
      <c r="J28" s="53">
        <f t="shared" si="10"/>
        <v>0.12947</v>
      </c>
      <c r="K28" s="49">
        <f>ROUND(H28*G28,2)</f>
        <v>0</v>
      </c>
      <c r="L28" s="49">
        <f>ROUND(G28*I28,2)</f>
        <v>0</v>
      </c>
      <c r="M28" s="54">
        <f>ROUND(G28*J28,2)</f>
        <v>0</v>
      </c>
      <c r="N28" s="49">
        <f>SUM(K28:M28)</f>
        <v>0</v>
      </c>
      <c r="O28" s="51"/>
      <c r="Q28" s="4"/>
      <c r="R28" s="4"/>
      <c r="S28" s="4"/>
      <c r="T28" s="4"/>
      <c r="U28" s="56"/>
      <c r="V28" s="4"/>
      <c r="W28" s="4"/>
      <c r="X28" s="4"/>
      <c r="Y28" s="4"/>
      <c r="Z28" s="4"/>
      <c r="AA28" s="4"/>
      <c r="AB28" s="4"/>
      <c r="AC28" s="4"/>
      <c r="AD28" s="29"/>
      <c r="AE28" t="s">
        <v>50</v>
      </c>
      <c r="AH28" s="29">
        <v>0</v>
      </c>
      <c r="AL28" t="s">
        <v>92</v>
      </c>
    </row>
    <row r="29" spans="2:38" ht="12.2" customHeight="1" x14ac:dyDescent="0.2">
      <c r="B29" s="44"/>
      <c r="D29" s="45"/>
      <c r="F29" s="46"/>
      <c r="G29" s="47"/>
      <c r="H29" s="53"/>
      <c r="I29" s="53"/>
      <c r="J29" s="53"/>
      <c r="K29" s="49"/>
      <c r="L29" s="49"/>
      <c r="M29" s="54"/>
      <c r="N29" s="49"/>
      <c r="O29" s="51"/>
      <c r="Q29" s="4"/>
      <c r="R29" s="4">
        <v>17029.240000000002</v>
      </c>
      <c r="S29" s="4"/>
      <c r="T29" s="4"/>
      <c r="U29" s="56">
        <v>1729.72</v>
      </c>
      <c r="V29" s="4"/>
      <c r="W29" s="4"/>
      <c r="X29" s="4"/>
      <c r="Y29" s="4"/>
      <c r="Z29" s="4"/>
      <c r="AA29" s="4"/>
      <c r="AB29" s="4"/>
      <c r="AC29" s="4"/>
      <c r="AD29" s="29"/>
      <c r="AH29" s="29"/>
    </row>
    <row r="30" spans="2:38" ht="15" x14ac:dyDescent="0.2">
      <c r="B30" s="44" t="s">
        <v>93</v>
      </c>
      <c r="C30" s="22" t="s">
        <v>94</v>
      </c>
      <c r="D30" s="45">
        <v>3</v>
      </c>
      <c r="E30" s="11" t="s">
        <v>86</v>
      </c>
      <c r="F30" s="46" t="s">
        <v>95</v>
      </c>
      <c r="G30" s="116"/>
      <c r="H30" s="53">
        <f t="shared" ref="H30:H32" si="11">$H$10</f>
        <v>0.24510999999999999</v>
      </c>
      <c r="I30" s="53">
        <f>$I$18</f>
        <v>0.16012999999999999</v>
      </c>
      <c r="J30" s="53">
        <f t="shared" ref="J30:J32" si="12">+$J$10</f>
        <v>0.12947</v>
      </c>
      <c r="K30" s="49">
        <f t="shared" ref="K30:K32" si="13">ROUND(H30*G30,2)</f>
        <v>0</v>
      </c>
      <c r="L30" s="49">
        <f t="shared" ref="L30:L32" si="14">ROUND(G30*I30,2)</f>
        <v>0</v>
      </c>
      <c r="M30" s="54">
        <f t="shared" ref="M30:M32" si="15">ROUND(G30*J30,2)</f>
        <v>0</v>
      </c>
      <c r="N30" s="49">
        <f t="shared" ref="N30:N32" si="16">SUM(K30:M30)</f>
        <v>0</v>
      </c>
      <c r="O30" s="51"/>
      <c r="Q30" s="52" t="s">
        <v>49</v>
      </c>
      <c r="R30" s="52"/>
      <c r="S30" s="52"/>
      <c r="T30" s="52"/>
      <c r="U30" s="56"/>
      <c r="V30" s="52"/>
      <c r="W30" s="52"/>
      <c r="X30" s="52"/>
      <c r="Y30" s="52"/>
      <c r="Z30" s="52"/>
      <c r="AA30" s="52"/>
      <c r="AB30" s="52"/>
      <c r="AC30" s="52"/>
      <c r="AD30" s="64"/>
      <c r="AE30" t="s">
        <v>50</v>
      </c>
      <c r="AH30" s="29">
        <v>0</v>
      </c>
      <c r="AL30" t="s">
        <v>88</v>
      </c>
    </row>
    <row r="31" spans="2:38" ht="15.75" x14ac:dyDescent="0.25">
      <c r="B31" s="44" t="s">
        <v>96</v>
      </c>
      <c r="C31" s="22" t="s">
        <v>81</v>
      </c>
      <c r="D31" s="45">
        <v>3</v>
      </c>
      <c r="E31" s="11" t="s">
        <v>86</v>
      </c>
      <c r="F31" s="46" t="s">
        <v>95</v>
      </c>
      <c r="G31" s="111"/>
      <c r="H31" s="53">
        <f t="shared" si="11"/>
        <v>0.24510999999999999</v>
      </c>
      <c r="I31" s="53">
        <f>$I$18</f>
        <v>0.16012999999999999</v>
      </c>
      <c r="J31" s="53">
        <f t="shared" si="12"/>
        <v>0.12947</v>
      </c>
      <c r="K31" s="49">
        <f t="shared" si="13"/>
        <v>0</v>
      </c>
      <c r="L31" s="49">
        <f t="shared" si="14"/>
        <v>0</v>
      </c>
      <c r="M31" s="54">
        <f t="shared" si="15"/>
        <v>0</v>
      </c>
      <c r="N31" s="49">
        <f t="shared" si="16"/>
        <v>0</v>
      </c>
      <c r="O31" s="51"/>
      <c r="Q31" s="4"/>
      <c r="R31" s="4">
        <v>128505.68</v>
      </c>
      <c r="S31" s="4"/>
      <c r="T31" s="4"/>
      <c r="U31" s="56">
        <v>17959.87</v>
      </c>
      <c r="V31" s="4"/>
      <c r="W31" s="4"/>
      <c r="X31" s="4"/>
      <c r="Y31" s="4"/>
      <c r="Z31" s="4"/>
      <c r="AA31" s="4"/>
      <c r="AB31" s="4"/>
      <c r="AC31" s="4"/>
      <c r="AD31" s="66"/>
      <c r="AE31" t="s">
        <v>50</v>
      </c>
      <c r="AH31" s="29">
        <v>0</v>
      </c>
      <c r="AL31" t="s">
        <v>88</v>
      </c>
    </row>
    <row r="32" spans="2:38" ht="15.75" x14ac:dyDescent="0.25">
      <c r="B32" s="44" t="s">
        <v>96</v>
      </c>
      <c r="C32" s="22" t="s">
        <v>83</v>
      </c>
      <c r="D32" s="45">
        <v>3</v>
      </c>
      <c r="E32" s="11" t="s">
        <v>86</v>
      </c>
      <c r="F32" s="46" t="s">
        <v>95</v>
      </c>
      <c r="G32" s="65">
        <v>491</v>
      </c>
      <c r="H32" s="53">
        <f t="shared" si="11"/>
        <v>0.24510999999999999</v>
      </c>
      <c r="I32" s="53">
        <f>$I$18</f>
        <v>0.16012999999999999</v>
      </c>
      <c r="J32" s="53">
        <f t="shared" si="12"/>
        <v>0.12947</v>
      </c>
      <c r="K32" s="49">
        <f t="shared" si="13"/>
        <v>120.35</v>
      </c>
      <c r="L32" s="49">
        <f t="shared" si="14"/>
        <v>78.62</v>
      </c>
      <c r="M32" s="54">
        <f t="shared" si="15"/>
        <v>63.57</v>
      </c>
      <c r="N32" s="49">
        <f t="shared" si="16"/>
        <v>262.54000000000002</v>
      </c>
      <c r="O32" s="49"/>
      <c r="Q32" s="4"/>
      <c r="R32" s="4">
        <v>97.86</v>
      </c>
      <c r="S32" s="4"/>
      <c r="T32" s="4"/>
      <c r="U32" s="56">
        <v>10.64</v>
      </c>
      <c r="V32" s="4"/>
      <c r="W32" s="4"/>
      <c r="X32" s="4"/>
      <c r="Y32" s="4"/>
      <c r="Z32" s="4"/>
      <c r="AA32" s="4"/>
      <c r="AB32" s="4"/>
      <c r="AC32" s="4"/>
      <c r="AD32" s="66"/>
      <c r="AE32" t="s">
        <v>50</v>
      </c>
      <c r="AH32" s="29">
        <v>0</v>
      </c>
      <c r="AL32" t="s">
        <v>88</v>
      </c>
    </row>
    <row r="33" spans="2:38" ht="12.2" customHeight="1" x14ac:dyDescent="0.2">
      <c r="B33" s="44"/>
      <c r="D33" s="45"/>
      <c r="F33" s="46"/>
      <c r="G33" s="47"/>
      <c r="H33" s="53"/>
      <c r="I33" s="53"/>
      <c r="J33" s="53"/>
      <c r="K33" s="49"/>
      <c r="L33" s="49"/>
      <c r="M33" s="54"/>
      <c r="N33" s="49"/>
      <c r="O33" s="49"/>
      <c r="Q33" s="4"/>
      <c r="R33" s="4"/>
      <c r="S33" s="4"/>
      <c r="T33" s="4"/>
      <c r="U33" s="56"/>
      <c r="V33" s="4"/>
      <c r="W33" s="4"/>
      <c r="X33" s="4"/>
      <c r="Y33" s="4"/>
      <c r="Z33" s="4"/>
      <c r="AA33" s="4"/>
      <c r="AB33" s="4"/>
      <c r="AC33" s="4"/>
      <c r="AD33" s="64"/>
      <c r="AH33" s="29"/>
    </row>
    <row r="34" spans="2:38" ht="15" x14ac:dyDescent="0.2">
      <c r="B34" s="44" t="s">
        <v>93</v>
      </c>
      <c r="C34" s="22" t="s">
        <v>97</v>
      </c>
      <c r="D34" s="45" t="s">
        <v>15</v>
      </c>
      <c r="E34" s="11" t="s">
        <v>98</v>
      </c>
      <c r="F34" s="46" t="s">
        <v>99</v>
      </c>
      <c r="G34" s="116">
        <v>0</v>
      </c>
      <c r="H34" s="53">
        <f t="shared" ref="H34:H36" si="17">$H$10</f>
        <v>0.24510999999999999</v>
      </c>
      <c r="I34" s="48">
        <v>0.14713999999999999</v>
      </c>
      <c r="J34" s="53">
        <f t="shared" ref="J34:J36" si="18">+$J$10</f>
        <v>0.12947</v>
      </c>
      <c r="K34" s="49">
        <f>ROUND(H34*G34,2)</f>
        <v>0</v>
      </c>
      <c r="L34" s="49">
        <f>ROUND(G34*I34,2)</f>
        <v>0</v>
      </c>
      <c r="M34" s="54">
        <f>ROUND(G34*J34,2)</f>
        <v>0</v>
      </c>
      <c r="N34" s="63">
        <f>SUM(K34:M34)</f>
        <v>0</v>
      </c>
      <c r="Q34" s="4"/>
      <c r="R34" s="4"/>
      <c r="S34" s="4"/>
      <c r="T34" s="4"/>
      <c r="U34" s="56"/>
      <c r="V34" s="4"/>
      <c r="W34" s="4"/>
      <c r="X34" s="4"/>
      <c r="Y34" s="4"/>
      <c r="Z34" s="4"/>
      <c r="AA34" s="4"/>
      <c r="AB34" s="4"/>
      <c r="AC34" s="4"/>
      <c r="AD34" s="29"/>
      <c r="AE34" t="s">
        <v>50</v>
      </c>
      <c r="AH34" s="29">
        <v>0</v>
      </c>
      <c r="AL34" t="s">
        <v>100</v>
      </c>
    </row>
    <row r="35" spans="2:38" ht="15.75" x14ac:dyDescent="0.25">
      <c r="B35" s="44" t="s">
        <v>96</v>
      </c>
      <c r="C35" s="22" t="s">
        <v>81</v>
      </c>
      <c r="D35" s="45">
        <v>4</v>
      </c>
      <c r="E35" s="11" t="s">
        <v>98</v>
      </c>
      <c r="F35" s="46" t="s">
        <v>99</v>
      </c>
      <c r="G35" s="111">
        <v>0</v>
      </c>
      <c r="H35" s="53">
        <f t="shared" si="17"/>
        <v>0.24510999999999999</v>
      </c>
      <c r="I35" s="53">
        <f>$I$34</f>
        <v>0.14713999999999999</v>
      </c>
      <c r="J35" s="53">
        <f t="shared" si="18"/>
        <v>0.12947</v>
      </c>
      <c r="K35" s="49">
        <f>ROUND(H35*G35,2)</f>
        <v>0</v>
      </c>
      <c r="L35" s="49">
        <f>ROUND(G35*I35,2)</f>
        <v>0</v>
      </c>
      <c r="M35" s="54">
        <f>ROUND(G35*J35,2)</f>
        <v>0</v>
      </c>
      <c r="N35" s="50">
        <f>SUM(K35:M35)</f>
        <v>0</v>
      </c>
      <c r="O35" s="49">
        <f>-N35-80.06</f>
        <v>-80.06</v>
      </c>
      <c r="Q35" s="4"/>
      <c r="R35" s="4">
        <v>18307.25</v>
      </c>
      <c r="S35" s="4"/>
      <c r="T35" s="4"/>
      <c r="U35" s="56">
        <v>1859.59</v>
      </c>
      <c r="V35" s="4"/>
      <c r="W35" s="4"/>
      <c r="X35" s="4"/>
      <c r="Y35" s="4"/>
      <c r="Z35" s="4"/>
      <c r="AA35" s="4"/>
      <c r="AB35" s="4"/>
      <c r="AC35" s="4"/>
      <c r="AD35" s="66"/>
      <c r="AE35" t="s">
        <v>50</v>
      </c>
      <c r="AH35" s="29">
        <v>0</v>
      </c>
      <c r="AL35" t="s">
        <v>101</v>
      </c>
    </row>
    <row r="36" spans="2:38" ht="15" x14ac:dyDescent="0.2">
      <c r="B36" s="44" t="s">
        <v>96</v>
      </c>
      <c r="C36" s="22" t="s">
        <v>83</v>
      </c>
      <c r="D36" s="45">
        <v>4</v>
      </c>
      <c r="E36" s="11" t="s">
        <v>98</v>
      </c>
      <c r="F36" s="46" t="s">
        <v>99</v>
      </c>
      <c r="G36" s="70">
        <v>0</v>
      </c>
      <c r="H36" s="53">
        <f t="shared" si="17"/>
        <v>0.24510999999999999</v>
      </c>
      <c r="I36" s="53">
        <f>$I$34</f>
        <v>0.14713999999999999</v>
      </c>
      <c r="J36" s="53">
        <f t="shared" si="18"/>
        <v>0.12947</v>
      </c>
      <c r="K36" s="49">
        <f>ROUND(H36*G36,2)</f>
        <v>0</v>
      </c>
      <c r="L36" s="49">
        <f>ROUND(G36*I36,2)</f>
        <v>0</v>
      </c>
      <c r="M36" s="54">
        <f>ROUND(G36*J36,2)</f>
        <v>0</v>
      </c>
      <c r="N36" s="49">
        <f>SUM(K36:M36)</f>
        <v>0</v>
      </c>
      <c r="O36" s="49"/>
      <c r="Q36" s="4"/>
      <c r="R36" s="4"/>
      <c r="S36" s="4"/>
      <c r="T36" s="4"/>
      <c r="U36" s="56"/>
      <c r="V36" s="4"/>
      <c r="W36" s="4"/>
      <c r="X36" s="4"/>
      <c r="Y36" s="4"/>
      <c r="Z36" s="4"/>
      <c r="AA36" s="4"/>
      <c r="AB36" s="4"/>
      <c r="AC36" s="4"/>
      <c r="AD36" s="66"/>
      <c r="AE36" t="s">
        <v>50</v>
      </c>
      <c r="AH36" s="29">
        <v>0</v>
      </c>
      <c r="AL36" t="s">
        <v>101</v>
      </c>
    </row>
    <row r="37" spans="2:38" ht="12.2" customHeight="1" x14ac:dyDescent="0.2">
      <c r="B37" s="44"/>
      <c r="D37" s="45"/>
      <c r="F37" s="46"/>
      <c r="G37" s="47"/>
      <c r="H37" s="53"/>
      <c r="I37" s="53"/>
      <c r="J37" s="53"/>
      <c r="M37" s="5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29"/>
      <c r="AH37" s="29"/>
    </row>
    <row r="38" spans="2:38" ht="15" x14ac:dyDescent="0.2">
      <c r="B38" s="44" t="s">
        <v>102</v>
      </c>
      <c r="C38" s="22" t="s">
        <v>103</v>
      </c>
      <c r="D38" s="45" t="s">
        <v>104</v>
      </c>
      <c r="E38" s="11" t="s">
        <v>98</v>
      </c>
      <c r="F38" s="46" t="s">
        <v>99</v>
      </c>
      <c r="G38" s="116"/>
      <c r="H38" s="53">
        <f t="shared" ref="H38:H43" si="19">$H$10</f>
        <v>0.24510999999999999</v>
      </c>
      <c r="I38" s="53">
        <f t="shared" ref="I38:I43" si="20">$I$34</f>
        <v>0.14713999999999999</v>
      </c>
      <c r="J38" s="53">
        <f t="shared" ref="J38:J45" si="21">+$J$10</f>
        <v>0.12947</v>
      </c>
      <c r="K38" s="49">
        <f t="shared" ref="K38:K43" si="22">ROUND(H38*G38,2)</f>
        <v>0</v>
      </c>
      <c r="L38" s="49">
        <f t="shared" ref="L38:L43" si="23">ROUND(G38*I38,2)</f>
        <v>0</v>
      </c>
      <c r="M38" s="54">
        <f t="shared" ref="M38:M42" si="24">ROUND(G38*J38,2)</f>
        <v>0</v>
      </c>
      <c r="N38" s="50">
        <f>SUM(K38:M38)</f>
        <v>0</v>
      </c>
      <c r="O38" s="49">
        <v>0.01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29"/>
      <c r="AE38" t="s">
        <v>50</v>
      </c>
      <c r="AH38" s="29">
        <v>0</v>
      </c>
      <c r="AL38" t="s">
        <v>101</v>
      </c>
    </row>
    <row r="39" spans="2:38" ht="15.75" x14ac:dyDescent="0.25">
      <c r="B39" s="44" t="s">
        <v>102</v>
      </c>
      <c r="C39" s="22" t="s">
        <v>81</v>
      </c>
      <c r="D39" s="45">
        <v>5</v>
      </c>
      <c r="E39" s="11" t="s">
        <v>98</v>
      </c>
      <c r="F39" s="46" t="s">
        <v>99</v>
      </c>
      <c r="G39" s="111"/>
      <c r="H39" s="53">
        <f t="shared" si="19"/>
        <v>0.24510999999999999</v>
      </c>
      <c r="I39" s="53">
        <f t="shared" si="20"/>
        <v>0.14713999999999999</v>
      </c>
      <c r="J39" s="53">
        <f t="shared" si="21"/>
        <v>0.12947</v>
      </c>
      <c r="K39" s="49">
        <f t="shared" si="22"/>
        <v>0</v>
      </c>
      <c r="L39" s="49">
        <f t="shared" si="23"/>
        <v>0</v>
      </c>
      <c r="M39" s="54">
        <f t="shared" si="24"/>
        <v>0</v>
      </c>
      <c r="N39" s="50">
        <f t="shared" ref="N39:N43" si="25">SUM(K39:M39)</f>
        <v>0</v>
      </c>
      <c r="O39" s="49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66"/>
      <c r="AE39" t="s">
        <v>50</v>
      </c>
      <c r="AH39" s="29">
        <v>0</v>
      </c>
      <c r="AL39" t="s">
        <v>100</v>
      </c>
    </row>
    <row r="40" spans="2:38" ht="15.75" x14ac:dyDescent="0.25">
      <c r="B40" s="44" t="s">
        <v>102</v>
      </c>
      <c r="C40" s="22" t="s">
        <v>105</v>
      </c>
      <c r="D40" s="45">
        <v>5</v>
      </c>
      <c r="E40" s="11" t="s">
        <v>98</v>
      </c>
      <c r="F40" s="46" t="s">
        <v>99</v>
      </c>
      <c r="G40" s="65">
        <v>230233</v>
      </c>
      <c r="H40" s="53">
        <f t="shared" si="19"/>
        <v>0.24510999999999999</v>
      </c>
      <c r="I40" s="53">
        <f t="shared" si="20"/>
        <v>0.14713999999999999</v>
      </c>
      <c r="J40" s="53">
        <f t="shared" si="21"/>
        <v>0.12947</v>
      </c>
      <c r="K40" s="49">
        <f t="shared" si="22"/>
        <v>56432.41</v>
      </c>
      <c r="L40" s="49">
        <f t="shared" si="23"/>
        <v>33876.480000000003</v>
      </c>
      <c r="M40" s="54">
        <f t="shared" si="24"/>
        <v>29808.27</v>
      </c>
      <c r="N40" s="50">
        <f t="shared" si="25"/>
        <v>120117.16000000002</v>
      </c>
      <c r="O40" s="49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66"/>
      <c r="AE40" t="s">
        <v>50</v>
      </c>
      <c r="AH40" s="29">
        <v>0</v>
      </c>
      <c r="AL40" t="s">
        <v>100</v>
      </c>
    </row>
    <row r="41" spans="2:38" ht="15" x14ac:dyDescent="0.2">
      <c r="B41" s="44" t="s">
        <v>106</v>
      </c>
      <c r="C41" s="22" t="s">
        <v>107</v>
      </c>
      <c r="D41" s="45">
        <v>5</v>
      </c>
      <c r="E41" s="11" t="s">
        <v>108</v>
      </c>
      <c r="F41" s="46" t="s">
        <v>109</v>
      </c>
      <c r="G41" s="47"/>
      <c r="H41" s="53">
        <f t="shared" si="19"/>
        <v>0.24510999999999999</v>
      </c>
      <c r="I41" s="53">
        <f t="shared" si="20"/>
        <v>0.14713999999999999</v>
      </c>
      <c r="J41" s="53">
        <f t="shared" si="21"/>
        <v>0.12947</v>
      </c>
      <c r="K41" s="49">
        <f t="shared" si="22"/>
        <v>0</v>
      </c>
      <c r="L41" s="49">
        <f t="shared" si="23"/>
        <v>0</v>
      </c>
      <c r="M41" s="54">
        <f t="shared" si="24"/>
        <v>0</v>
      </c>
      <c r="N41" s="50">
        <f t="shared" si="25"/>
        <v>0</v>
      </c>
      <c r="O41" s="49">
        <v>-0.01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29"/>
      <c r="AE41" t="s">
        <v>50</v>
      </c>
      <c r="AH41" s="29">
        <v>0</v>
      </c>
      <c r="AL41" t="s">
        <v>110</v>
      </c>
    </row>
    <row r="42" spans="2:38" ht="15.75" x14ac:dyDescent="0.25">
      <c r="B42" s="44" t="s">
        <v>102</v>
      </c>
      <c r="C42" s="22" t="s">
        <v>81</v>
      </c>
      <c r="D42" s="45">
        <v>5</v>
      </c>
      <c r="E42" s="11" t="s">
        <v>108</v>
      </c>
      <c r="F42" s="46" t="s">
        <v>109</v>
      </c>
      <c r="G42" s="111">
        <v>0</v>
      </c>
      <c r="H42" s="53">
        <f t="shared" si="19"/>
        <v>0.24510999999999999</v>
      </c>
      <c r="I42" s="53">
        <f t="shared" si="20"/>
        <v>0.14713999999999999</v>
      </c>
      <c r="J42" s="53">
        <f t="shared" si="21"/>
        <v>0.12947</v>
      </c>
      <c r="K42" s="49">
        <f>ROUND(H42*G42,2)</f>
        <v>0</v>
      </c>
      <c r="L42" s="49">
        <f t="shared" si="23"/>
        <v>0</v>
      </c>
      <c r="M42" s="54">
        <f t="shared" si="24"/>
        <v>0</v>
      </c>
      <c r="N42" s="50">
        <f t="shared" si="25"/>
        <v>0</v>
      </c>
      <c r="O42" s="49">
        <v>-0.01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66"/>
      <c r="AE42" t="s">
        <v>50</v>
      </c>
      <c r="AH42" s="29">
        <v>0</v>
      </c>
      <c r="AL42" t="s">
        <v>100</v>
      </c>
    </row>
    <row r="43" spans="2:38" ht="15" x14ac:dyDescent="0.2">
      <c r="B43" s="44" t="s">
        <v>102</v>
      </c>
      <c r="C43" s="22" t="s">
        <v>105</v>
      </c>
      <c r="D43" s="45">
        <v>5</v>
      </c>
      <c r="E43" s="11" t="s">
        <v>108</v>
      </c>
      <c r="F43" s="46" t="s">
        <v>109</v>
      </c>
      <c r="G43" s="70">
        <v>0</v>
      </c>
      <c r="H43" s="53">
        <f t="shared" si="19"/>
        <v>0.24510999999999999</v>
      </c>
      <c r="I43" s="53">
        <f t="shared" si="20"/>
        <v>0.14713999999999999</v>
      </c>
      <c r="J43" s="53">
        <f t="shared" si="21"/>
        <v>0.12947</v>
      </c>
      <c r="K43" s="49">
        <f t="shared" si="22"/>
        <v>0</v>
      </c>
      <c r="L43" s="49">
        <f t="shared" si="23"/>
        <v>0</v>
      </c>
      <c r="M43" s="54">
        <f>ROUND(G43*J43,2)</f>
        <v>0</v>
      </c>
      <c r="N43" s="50">
        <f t="shared" si="25"/>
        <v>0</v>
      </c>
      <c r="O43" s="49">
        <v>0.01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66"/>
      <c r="AE43" t="s">
        <v>50</v>
      </c>
      <c r="AH43" s="29">
        <v>0</v>
      </c>
      <c r="AL43" t="s">
        <v>100</v>
      </c>
    </row>
    <row r="44" spans="2:38" ht="12.2" customHeight="1" x14ac:dyDescent="0.2">
      <c r="B44" s="44"/>
      <c r="D44" s="45"/>
      <c r="F44" s="46"/>
      <c r="G44" s="71"/>
      <c r="H44" s="53"/>
      <c r="I44" s="53"/>
      <c r="J44" s="53"/>
      <c r="K44" s="49"/>
      <c r="L44" s="49"/>
      <c r="M44" s="54"/>
      <c r="N44" s="49"/>
      <c r="O44" s="49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66"/>
      <c r="AH44" s="29"/>
    </row>
    <row r="45" spans="2:38" ht="14.25" x14ac:dyDescent="0.2">
      <c r="B45" s="44" t="s">
        <v>106</v>
      </c>
      <c r="C45" s="22" t="s">
        <v>111</v>
      </c>
      <c r="D45" s="45">
        <v>6</v>
      </c>
      <c r="E45" s="11" t="s">
        <v>98</v>
      </c>
      <c r="F45" s="46"/>
      <c r="G45" s="72">
        <f>'[2]Core Billed Therms '!$J$88</f>
        <v>0</v>
      </c>
      <c r="H45" s="53">
        <f>$H$10</f>
        <v>0.24510999999999999</v>
      </c>
      <c r="I45" s="53">
        <f>$I$34</f>
        <v>0.14713999999999999</v>
      </c>
      <c r="J45" s="53">
        <f t="shared" si="21"/>
        <v>0.12947</v>
      </c>
      <c r="K45" s="49">
        <f>ROUND(H45*G45,2)</f>
        <v>0</v>
      </c>
      <c r="L45" s="49">
        <f>ROUND(G45*I45,2)</f>
        <v>0</v>
      </c>
      <c r="M45" s="54">
        <f>ROUND(G45*J45,2)</f>
        <v>0</v>
      </c>
      <c r="N45" s="49">
        <f>SUM(K45:M45)</f>
        <v>0</v>
      </c>
      <c r="O45" s="49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29"/>
      <c r="AE45" t="s">
        <v>50</v>
      </c>
      <c r="AH45" s="29">
        <v>0</v>
      </c>
      <c r="AL45" t="s">
        <v>112</v>
      </c>
    </row>
    <row r="46" spans="2:38" ht="12.2" customHeight="1" x14ac:dyDescent="0.2">
      <c r="B46" s="44"/>
      <c r="D46" s="45"/>
      <c r="G46" s="72"/>
      <c r="J46" s="73"/>
      <c r="K46" s="49"/>
      <c r="L46" s="49"/>
      <c r="M46" s="54"/>
      <c r="N46" s="49"/>
      <c r="O46" s="49"/>
      <c r="AD46" s="29"/>
      <c r="AH46" s="29"/>
    </row>
    <row r="47" spans="2:38" ht="15" x14ac:dyDescent="0.25">
      <c r="B47" s="74"/>
      <c r="D47" s="75"/>
      <c r="E47" s="76"/>
      <c r="F47" s="11" t="s">
        <v>115</v>
      </c>
      <c r="G47" s="77">
        <f>SUM(G9:G46)</f>
        <v>31299894</v>
      </c>
      <c r="H47" s="78" t="s">
        <v>114</v>
      </c>
      <c r="K47" s="79">
        <f>SUM(K9:K46)</f>
        <v>7671917.0199999986</v>
      </c>
      <c r="L47" s="80">
        <f>SUM(L9:L46)</f>
        <v>5442889.7600000007</v>
      </c>
      <c r="M47" s="81">
        <f>SUM(M9:M46)</f>
        <v>1202098.54</v>
      </c>
      <c r="N47" s="82">
        <f>SUM(N9:N46)</f>
        <v>14316905.319999998</v>
      </c>
      <c r="O47" s="83">
        <v>0.03</v>
      </c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29"/>
      <c r="AH47" s="29"/>
    </row>
    <row r="48" spans="2:38" ht="14.25" x14ac:dyDescent="0.2">
      <c r="C48" s="3"/>
      <c r="D48" s="75"/>
      <c r="F48" s="11" t="s">
        <v>113</v>
      </c>
      <c r="G48" s="77" t="e">
        <f>+#REF!</f>
        <v>#REF!</v>
      </c>
      <c r="K48" s="82" t="s">
        <v>116</v>
      </c>
      <c r="L48" s="82" t="s">
        <v>116</v>
      </c>
      <c r="M48" s="82"/>
      <c r="N48" s="82"/>
      <c r="O48" s="82"/>
      <c r="Q48" s="82">
        <f>-N47</f>
        <v>-14316905.319999998</v>
      </c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3" t="s">
        <v>117</v>
      </c>
      <c r="AE48" t="s">
        <v>50</v>
      </c>
      <c r="AH48" s="29">
        <v>0</v>
      </c>
      <c r="AL48" t="s">
        <v>118</v>
      </c>
    </row>
    <row r="49" spans="6:32" ht="15" x14ac:dyDescent="0.25">
      <c r="F49" s="84" t="s">
        <v>119</v>
      </c>
      <c r="G49" s="85" t="e">
        <f>+G47+G48</f>
        <v>#REF!</v>
      </c>
      <c r="H49" s="86"/>
      <c r="K49" s="82">
        <f>SUM(K47:K48)</f>
        <v>7671917.0199999986</v>
      </c>
      <c r="L49" s="82">
        <f>SUM(L47:L48)</f>
        <v>5442889.7600000007</v>
      </c>
      <c r="M49" s="82">
        <f>SUM(M47:M48)</f>
        <v>1202098.54</v>
      </c>
      <c r="N49" s="82">
        <f>SUM(N47:N48)</f>
        <v>14316905.319999998</v>
      </c>
      <c r="O49" s="82"/>
      <c r="P49" s="49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F49" s="29"/>
    </row>
    <row r="50" spans="6:32" ht="21.75" customHeight="1" x14ac:dyDescent="0.25">
      <c r="G50" s="88" t="s">
        <v>120</v>
      </c>
      <c r="K50" s="82"/>
      <c r="L50" s="89"/>
      <c r="M50" s="82"/>
      <c r="N50" s="82"/>
      <c r="O50" s="82"/>
    </row>
    <row r="51" spans="6:32" ht="21.75" customHeight="1" x14ac:dyDescent="0.2">
      <c r="G51" s="90" t="s">
        <v>121</v>
      </c>
      <c r="H51" s="91"/>
      <c r="L51" s="92"/>
      <c r="M51" s="49"/>
      <c r="N51" s="49"/>
      <c r="O51" s="49"/>
    </row>
    <row r="52" spans="6:32" x14ac:dyDescent="0.2">
      <c r="H52" s="91"/>
      <c r="L52" s="94"/>
      <c r="N52" s="89"/>
      <c r="O52" s="89"/>
    </row>
    <row r="53" spans="6:32" x14ac:dyDescent="0.2">
      <c r="F53" s="11" t="s">
        <v>122</v>
      </c>
      <c r="L53" s="95"/>
      <c r="N53" s="96"/>
      <c r="O53" s="96"/>
    </row>
    <row r="54" spans="6:32" x14ac:dyDescent="0.2">
      <c r="L54" s="95"/>
      <c r="M54" s="97"/>
    </row>
    <row r="55" spans="6:32" x14ac:dyDescent="0.2">
      <c r="L55" s="95"/>
      <c r="M55" s="97"/>
      <c r="N55" s="5"/>
      <c r="O55" s="5"/>
    </row>
    <row r="56" spans="6:32" x14ac:dyDescent="0.2">
      <c r="L56" s="95"/>
      <c r="M56" s="97"/>
      <c r="N56" s="98"/>
      <c r="O56" s="98"/>
    </row>
    <row r="57" spans="6:32" x14ac:dyDescent="0.2">
      <c r="L57" s="95"/>
      <c r="M57" s="97"/>
      <c r="N57" s="98"/>
      <c r="O57" s="98"/>
    </row>
    <row r="58" spans="6:32" x14ac:dyDescent="0.2">
      <c r="L58" s="95"/>
      <c r="M58" s="98"/>
      <c r="N58" s="97"/>
      <c r="O58" s="97"/>
    </row>
    <row r="59" spans="6:32" x14ac:dyDescent="0.2">
      <c r="L59" s="99"/>
      <c r="N59" s="100"/>
      <c r="O59" s="100"/>
    </row>
    <row r="60" spans="6:32" x14ac:dyDescent="0.2">
      <c r="L60" s="94"/>
      <c r="N60" s="101"/>
      <c r="O60" s="101"/>
    </row>
    <row r="72" spans="2:38" s="69" customFormat="1" x14ac:dyDescent="0.2">
      <c r="B72" s="3"/>
      <c r="C72" s="22"/>
      <c r="D72" s="11"/>
      <c r="E72" s="11"/>
      <c r="F72" s="11"/>
      <c r="G72" s="93" t="e">
        <f>+G49+#REF!</f>
        <v>#REF!</v>
      </c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107" spans="2:29" x14ac:dyDescent="0.2">
      <c r="B107" s="7"/>
      <c r="D107" s="75"/>
    </row>
    <row r="108" spans="2:29" x14ac:dyDescent="0.2">
      <c r="B108" s="7"/>
      <c r="D108" s="75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</row>
    <row r="109" spans="2:29" x14ac:dyDescent="0.2"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</row>
    <row r="110" spans="2:29" x14ac:dyDescent="0.2">
      <c r="D110" s="75"/>
    </row>
    <row r="111" spans="2:29" x14ac:dyDescent="0.2">
      <c r="D111" s="75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98E30-9408-4ECA-9945-3B15E3174E33}">
  <dimension ref="B1:AG71"/>
  <sheetViews>
    <sheetView showGridLines="0" topLeftCell="A15" zoomScaleNormal="100" zoomScaleSheetLayoutView="100" workbookViewId="0">
      <pane xSplit="6" topLeftCell="G1" activePane="topRight" state="frozen"/>
      <selection activeCell="B6" sqref="B6"/>
      <selection pane="topRight" activeCell="F55" sqref="F55"/>
    </sheetView>
  </sheetViews>
  <sheetFormatPr defaultColWidth="9.140625" defaultRowHeight="14.1" customHeight="1" x14ac:dyDescent="0.25"/>
  <cols>
    <col min="1" max="1" width="1.7109375" style="8" customWidth="1"/>
    <col min="2" max="2" width="3.42578125" style="118" customWidth="1"/>
    <col min="3" max="3" width="5.5703125" style="118" customWidth="1"/>
    <col min="4" max="4" width="6.42578125" style="118" customWidth="1"/>
    <col min="5" max="5" width="8.85546875" style="244" customWidth="1"/>
    <col min="6" max="6" width="29.5703125" style="8" customWidth="1"/>
    <col min="7" max="7" width="11.140625" style="8" bestFit="1" customWidth="1"/>
    <col min="8" max="8" width="14.5703125" style="121" bestFit="1" customWidth="1"/>
    <col min="9" max="9" width="2.7109375" style="8" customWidth="1"/>
    <col min="10" max="10" width="12.7109375" style="8" bestFit="1" customWidth="1"/>
    <col min="11" max="11" width="16.85546875" style="121" bestFit="1" customWidth="1"/>
    <col min="12" max="12" width="2.7109375" style="8" customWidth="1"/>
    <col min="13" max="13" width="13.42578125" style="8" bestFit="1" customWidth="1"/>
    <col min="14" max="14" width="16.28515625" style="121" customWidth="1"/>
    <col min="15" max="15" width="3" style="8" customWidth="1"/>
    <col min="16" max="16" width="12.85546875" style="134" bestFit="1" customWidth="1"/>
    <col min="17" max="17" width="17.42578125" style="134" customWidth="1"/>
    <col min="18" max="18" width="3.7109375" style="134" customWidth="1"/>
    <col min="19" max="19" width="12.85546875" style="134" bestFit="1" customWidth="1"/>
    <col min="20" max="20" width="16.85546875" style="134" customWidth="1"/>
    <col min="21" max="21" width="3.5703125" style="8" customWidth="1"/>
    <col min="22" max="22" width="9.5703125" style="8" bestFit="1" customWidth="1"/>
    <col min="23" max="23" width="16" style="8" bestFit="1" customWidth="1"/>
    <col min="24" max="24" width="1.7109375" style="8" hidden="1" customWidth="1"/>
    <col min="25" max="25" width="10.85546875" style="8" bestFit="1" customWidth="1"/>
    <col min="26" max="26" width="14.7109375" style="8" bestFit="1" customWidth="1"/>
    <col min="27" max="27" width="1.7109375" style="8" hidden="1" customWidth="1"/>
    <col min="28" max="29" width="15.7109375" style="8" hidden="1" customWidth="1"/>
    <col min="30" max="30" width="2.140625" style="8" customWidth="1"/>
    <col min="31" max="31" width="14.85546875" style="8" bestFit="1" customWidth="1"/>
    <col min="32" max="32" width="10.7109375" style="8" bestFit="1" customWidth="1"/>
    <col min="33" max="33" width="13.7109375" style="8" bestFit="1" customWidth="1"/>
    <col min="34" max="16384" width="9.140625" style="8"/>
  </cols>
  <sheetData>
    <row r="1" spans="2:33" ht="17.45" customHeight="1" x14ac:dyDescent="0.25">
      <c r="B1" s="117" t="s">
        <v>126</v>
      </c>
      <c r="D1" s="119"/>
      <c r="E1" s="119"/>
      <c r="F1" s="119"/>
      <c r="G1" s="120"/>
      <c r="I1" s="122"/>
      <c r="K1" s="123"/>
      <c r="O1" s="122"/>
      <c r="P1" s="124"/>
      <c r="Q1" s="125"/>
      <c r="R1" s="124"/>
      <c r="S1" s="124"/>
      <c r="T1" s="124"/>
      <c r="U1" s="122"/>
      <c r="W1" s="126">
        <f>B2-31</f>
        <v>43763</v>
      </c>
      <c r="X1" s="126"/>
      <c r="Y1" s="126"/>
    </row>
    <row r="2" spans="2:33" ht="15" customHeight="1" x14ac:dyDescent="0.25">
      <c r="B2" s="127">
        <v>43794</v>
      </c>
      <c r="C2" s="127"/>
      <c r="D2" s="127"/>
      <c r="E2" s="127"/>
      <c r="G2" s="128" t="s">
        <v>12</v>
      </c>
      <c r="H2" s="128"/>
      <c r="I2" s="122"/>
      <c r="J2" s="129" t="s">
        <v>127</v>
      </c>
      <c r="K2" s="129"/>
      <c r="L2" s="129"/>
      <c r="M2" s="129"/>
      <c r="N2" s="129"/>
      <c r="O2" s="122"/>
      <c r="P2" s="130" t="s">
        <v>128</v>
      </c>
      <c r="Q2" s="130"/>
      <c r="R2" s="130"/>
      <c r="S2" s="130"/>
      <c r="T2" s="130"/>
      <c r="U2" s="122"/>
      <c r="W2" s="131" t="s">
        <v>129</v>
      </c>
      <c r="X2" s="131"/>
      <c r="Y2" s="131"/>
    </row>
    <row r="3" spans="2:33" ht="15" x14ac:dyDescent="0.25">
      <c r="E3" s="132"/>
      <c r="H3" s="133"/>
      <c r="I3" s="122"/>
      <c r="K3" s="123"/>
      <c r="O3" s="122"/>
      <c r="U3" s="135"/>
      <c r="W3" s="126">
        <f>B2</f>
        <v>43794</v>
      </c>
      <c r="X3" s="126"/>
      <c r="Y3" s="126"/>
      <c r="Z3" s="136"/>
      <c r="AB3" s="137" t="s">
        <v>130</v>
      </c>
      <c r="AC3" s="137"/>
      <c r="AD3" s="138"/>
    </row>
    <row r="4" spans="2:33" ht="16.5" customHeight="1" x14ac:dyDescent="0.25">
      <c r="B4" s="139"/>
      <c r="C4" s="139"/>
      <c r="D4" s="139"/>
      <c r="E4" s="140"/>
      <c r="F4" s="141" t="s">
        <v>131</v>
      </c>
      <c r="I4" s="122"/>
      <c r="J4" s="142" t="s">
        <v>132</v>
      </c>
      <c r="K4" s="142"/>
      <c r="L4" s="143"/>
      <c r="M4" s="142" t="s">
        <v>133</v>
      </c>
      <c r="N4" s="142"/>
      <c r="O4" s="144"/>
      <c r="P4" s="145" t="s">
        <v>132</v>
      </c>
      <c r="Q4" s="145"/>
      <c r="R4" s="146"/>
      <c r="S4" s="145" t="s">
        <v>133</v>
      </c>
      <c r="T4" s="145"/>
      <c r="U4" s="144"/>
      <c r="V4" s="142" t="s">
        <v>132</v>
      </c>
      <c r="W4" s="142"/>
      <c r="X4" s="143"/>
      <c r="Y4" s="142" t="s">
        <v>133</v>
      </c>
      <c r="Z4" s="142"/>
      <c r="AB4" s="147" t="s">
        <v>2</v>
      </c>
      <c r="AC4" s="147" t="s">
        <v>8</v>
      </c>
      <c r="AD4" s="147"/>
    </row>
    <row r="5" spans="2:33" s="7" customFormat="1" ht="15.75" customHeight="1" x14ac:dyDescent="0.2">
      <c r="B5" s="148" t="s">
        <v>134</v>
      </c>
      <c r="C5" s="148"/>
      <c r="D5" s="148"/>
      <c r="E5" s="148"/>
      <c r="F5" s="149"/>
      <c r="G5" s="150" t="s">
        <v>34</v>
      </c>
      <c r="H5" s="151" t="s">
        <v>135</v>
      </c>
      <c r="I5" s="122"/>
      <c r="J5" s="152" t="s">
        <v>34</v>
      </c>
      <c r="K5" s="153" t="s">
        <v>135</v>
      </c>
      <c r="L5" s="154"/>
      <c r="M5" s="152" t="s">
        <v>34</v>
      </c>
      <c r="N5" s="153" t="s">
        <v>135</v>
      </c>
      <c r="O5" s="122"/>
      <c r="P5" s="155" t="s">
        <v>34</v>
      </c>
      <c r="Q5" s="156" t="s">
        <v>135</v>
      </c>
      <c r="R5" s="154"/>
      <c r="S5" s="154" t="s">
        <v>34</v>
      </c>
      <c r="T5" s="157" t="s">
        <v>135</v>
      </c>
      <c r="U5" s="122"/>
      <c r="V5" s="152" t="s">
        <v>136</v>
      </c>
      <c r="W5" s="157" t="s">
        <v>135</v>
      </c>
      <c r="X5" s="154"/>
      <c r="Y5" s="158" t="s">
        <v>136</v>
      </c>
      <c r="Z5" s="157" t="s">
        <v>135</v>
      </c>
      <c r="AB5" s="159" t="s">
        <v>135</v>
      </c>
      <c r="AC5" s="159" t="s">
        <v>135</v>
      </c>
      <c r="AD5" s="159"/>
    </row>
    <row r="6" spans="2:33" ht="14.25" customHeight="1" x14ac:dyDescent="0.25">
      <c r="B6" s="160" t="s">
        <v>137</v>
      </c>
      <c r="C6" s="161">
        <v>6011</v>
      </c>
      <c r="D6" s="161">
        <v>28040</v>
      </c>
      <c r="E6" s="162">
        <v>671010</v>
      </c>
      <c r="F6" s="7" t="s">
        <v>138</v>
      </c>
      <c r="G6" s="163" t="s">
        <v>139</v>
      </c>
      <c r="H6" s="164">
        <f>K6+N6</f>
        <v>342142.5</v>
      </c>
      <c r="I6" s="122"/>
      <c r="J6" s="165"/>
      <c r="K6" s="166">
        <f>+Q6+W6</f>
        <v>40749.17</v>
      </c>
      <c r="L6" s="167" t="s">
        <v>140</v>
      </c>
      <c r="M6" s="165"/>
      <c r="N6" s="166">
        <f>+T6+Z6</f>
        <v>301393.33</v>
      </c>
      <c r="O6" s="122" t="s">
        <v>140</v>
      </c>
      <c r="P6" s="168"/>
      <c r="Q6" s="169">
        <v>40749.17</v>
      </c>
      <c r="R6" s="7"/>
      <c r="S6" s="168"/>
      <c r="T6" s="169">
        <v>301393.33</v>
      </c>
      <c r="U6" s="122"/>
      <c r="V6" s="170"/>
      <c r="W6" s="171"/>
      <c r="Y6" s="120"/>
      <c r="Z6" s="171"/>
      <c r="AE6" s="172">
        <v>671010</v>
      </c>
    </row>
    <row r="7" spans="2:33" ht="14.25" customHeight="1" x14ac:dyDescent="0.25">
      <c r="B7" s="160" t="s">
        <v>137</v>
      </c>
      <c r="C7" s="161">
        <v>6011</v>
      </c>
      <c r="D7" s="161">
        <v>28040</v>
      </c>
      <c r="E7" s="162">
        <v>671030</v>
      </c>
      <c r="F7" s="7" t="s">
        <v>141</v>
      </c>
      <c r="G7" s="163" t="s">
        <v>139</v>
      </c>
      <c r="H7" s="164">
        <f t="shared" ref="H7:H13" si="0">+K7+N7</f>
        <v>410435.41000000003</v>
      </c>
      <c r="I7" s="122"/>
      <c r="J7" s="165"/>
      <c r="K7" s="166">
        <f>+Q7+W7</f>
        <v>249815.41</v>
      </c>
      <c r="L7" s="167" t="s">
        <v>140</v>
      </c>
      <c r="M7" s="165"/>
      <c r="N7" s="166">
        <f>+T7+Z7</f>
        <v>160620</v>
      </c>
      <c r="O7" s="122" t="s">
        <v>140</v>
      </c>
      <c r="P7" s="168"/>
      <c r="Q7" s="169">
        <v>250049.6</v>
      </c>
      <c r="R7" s="7"/>
      <c r="S7" s="168"/>
      <c r="T7" s="169">
        <v>161406.56</v>
      </c>
      <c r="U7" s="122"/>
      <c r="V7" s="173"/>
      <c r="W7" s="169">
        <v>-234.19</v>
      </c>
      <c r="Y7" s="174"/>
      <c r="Z7" s="169">
        <v>-786.56</v>
      </c>
      <c r="AE7" s="172">
        <v>671030</v>
      </c>
    </row>
    <row r="8" spans="2:33" ht="14.25" customHeight="1" x14ac:dyDescent="0.25">
      <c r="B8" s="160" t="s">
        <v>137</v>
      </c>
      <c r="C8" s="161">
        <v>6011</v>
      </c>
      <c r="D8" s="161">
        <v>28040</v>
      </c>
      <c r="E8" s="162">
        <v>671050</v>
      </c>
      <c r="F8" s="7" t="s">
        <v>142</v>
      </c>
      <c r="G8" s="175">
        <f t="shared" ref="G8:G14" si="1">+J8+M8</f>
        <v>40582680</v>
      </c>
      <c r="H8" s="164">
        <f t="shared" si="0"/>
        <v>11529057.52</v>
      </c>
      <c r="I8" s="122"/>
      <c r="J8" s="176">
        <f>+P8+V8</f>
        <v>30007109</v>
      </c>
      <c r="K8" s="177">
        <f>+Q8+W8</f>
        <v>9127263</v>
      </c>
      <c r="L8" s="167" t="s">
        <v>143</v>
      </c>
      <c r="M8" s="7">
        <f>+S8+Y8</f>
        <v>10575571</v>
      </c>
      <c r="N8" s="178">
        <f>+T8+Z8</f>
        <v>2401794.52</v>
      </c>
      <c r="O8" s="122" t="s">
        <v>143</v>
      </c>
      <c r="P8" s="179">
        <v>30010320</v>
      </c>
      <c r="Q8" s="180">
        <f>9552785.85+12000</f>
        <v>9564785.8499999996</v>
      </c>
      <c r="R8" s="7"/>
      <c r="S8" s="179">
        <v>10576790</v>
      </c>
      <c r="T8" s="180">
        <v>2510999.64</v>
      </c>
      <c r="U8" s="122"/>
      <c r="V8" s="181">
        <v>-3211</v>
      </c>
      <c r="W8" s="180">
        <v>-437522.85</v>
      </c>
      <c r="Y8" s="182">
        <v>-1219</v>
      </c>
      <c r="Z8" s="180">
        <v>-109205.12</v>
      </c>
      <c r="AB8" s="183">
        <v>0</v>
      </c>
      <c r="AC8" s="183">
        <v>0</v>
      </c>
      <c r="AE8" s="184">
        <v>671050</v>
      </c>
    </row>
    <row r="9" spans="2:33" ht="14.25" customHeight="1" x14ac:dyDescent="0.25">
      <c r="B9" s="160" t="s">
        <v>137</v>
      </c>
      <c r="C9" s="161">
        <v>6011</v>
      </c>
      <c r="D9" s="161">
        <v>28040</v>
      </c>
      <c r="E9" s="162">
        <v>671051</v>
      </c>
      <c r="F9" s="7" t="s">
        <v>144</v>
      </c>
      <c r="G9" s="163" t="s">
        <v>139</v>
      </c>
      <c r="H9" s="164">
        <f t="shared" si="0"/>
        <v>0</v>
      </c>
      <c r="I9" s="122"/>
      <c r="J9" s="185"/>
      <c r="K9" s="178">
        <f t="shared" ref="J9:K14" si="2">+Q9+W9</f>
        <v>0</v>
      </c>
      <c r="L9" s="167" t="s">
        <v>143</v>
      </c>
      <c r="M9" s="186"/>
      <c r="N9" s="178">
        <f>+T9+Z9</f>
        <v>0</v>
      </c>
      <c r="O9" s="122" t="s">
        <v>143</v>
      </c>
      <c r="P9" s="168"/>
      <c r="Q9" s="180"/>
      <c r="R9" s="7"/>
      <c r="S9" s="168"/>
      <c r="T9" s="180"/>
      <c r="U9" s="122"/>
      <c r="V9" s="187"/>
      <c r="W9" s="188"/>
      <c r="X9" s="120"/>
      <c r="Y9" s="189"/>
      <c r="Z9" s="188"/>
      <c r="AE9" s="184">
        <v>671051</v>
      </c>
    </row>
    <row r="10" spans="2:33" ht="14.25" customHeight="1" x14ac:dyDescent="0.25">
      <c r="B10" s="160" t="s">
        <v>137</v>
      </c>
      <c r="C10" s="161">
        <v>6011</v>
      </c>
      <c r="D10" s="161">
        <v>28040</v>
      </c>
      <c r="E10" s="162">
        <v>671070</v>
      </c>
      <c r="F10" s="7" t="s">
        <v>145</v>
      </c>
      <c r="G10" s="175">
        <f t="shared" si="1"/>
        <v>-807550</v>
      </c>
      <c r="H10" s="164">
        <f>+K10+N10</f>
        <v>-50307.049999999988</v>
      </c>
      <c r="I10" s="122"/>
      <c r="J10" s="176">
        <f t="shared" si="2"/>
        <v>-545019</v>
      </c>
      <c r="K10" s="178">
        <f t="shared" si="2"/>
        <v>-20472.919999999984</v>
      </c>
      <c r="L10" s="167" t="s">
        <v>143</v>
      </c>
      <c r="M10" s="7">
        <f>+S10+Y10</f>
        <v>-262531</v>
      </c>
      <c r="N10" s="178">
        <f>+T10+Z10</f>
        <v>-29834.130000000005</v>
      </c>
      <c r="O10" s="190" t="s">
        <v>143</v>
      </c>
      <c r="P10" s="179">
        <f>811231-1356250</f>
        <v>-545019</v>
      </c>
      <c r="Q10" s="191">
        <f>354409.44-374882.36</f>
        <v>-20472.919999999984</v>
      </c>
      <c r="R10" s="7"/>
      <c r="S10" s="179">
        <f>266299-528830</f>
        <v>-262531</v>
      </c>
      <c r="T10" s="180">
        <f>116340.28-146174.41</f>
        <v>-29834.130000000005</v>
      </c>
      <c r="U10" s="122"/>
      <c r="V10" s="187"/>
      <c r="W10" s="188"/>
      <c r="X10" s="120">
        <v>0</v>
      </c>
      <c r="Y10" s="189"/>
      <c r="Z10" s="188"/>
      <c r="AE10" s="184">
        <v>671070</v>
      </c>
    </row>
    <row r="11" spans="2:33" ht="14.25" customHeight="1" x14ac:dyDescent="0.25">
      <c r="B11" s="192" t="s">
        <v>137</v>
      </c>
      <c r="C11" s="193">
        <v>6011</v>
      </c>
      <c r="D11" s="193">
        <v>28081</v>
      </c>
      <c r="E11" s="194">
        <v>671050</v>
      </c>
      <c r="F11" s="195" t="s">
        <v>146</v>
      </c>
      <c r="G11" s="175">
        <f t="shared" si="1"/>
        <v>3755920</v>
      </c>
      <c r="H11" s="164">
        <f t="shared" si="0"/>
        <v>1163805</v>
      </c>
      <c r="I11" s="122"/>
      <c r="J11" s="176">
        <f t="shared" si="2"/>
        <v>3308590</v>
      </c>
      <c r="K11" s="178">
        <f t="shared" si="2"/>
        <v>1025195.83</v>
      </c>
      <c r="L11" s="167" t="s">
        <v>143</v>
      </c>
      <c r="M11" s="7">
        <f t="shared" ref="M11:N14" si="3">+S11+Y11</f>
        <v>447330</v>
      </c>
      <c r="N11" s="178">
        <f t="shared" si="3"/>
        <v>138609.17000000001</v>
      </c>
      <c r="O11" s="122" t="s">
        <v>143</v>
      </c>
      <c r="P11" s="179">
        <v>3308590</v>
      </c>
      <c r="Q11" s="196">
        <v>1025195.83</v>
      </c>
      <c r="R11" s="175">
        <v>-1</v>
      </c>
      <c r="S11" s="179">
        <v>447330</v>
      </c>
      <c r="T11" s="196">
        <v>138609.17000000001</v>
      </c>
      <c r="U11" s="197">
        <v>-4</v>
      </c>
      <c r="V11" s="187"/>
      <c r="W11" s="188"/>
      <c r="X11" s="120"/>
      <c r="Y11" s="189"/>
      <c r="Z11" s="188"/>
      <c r="AE11" s="194">
        <v>671050</v>
      </c>
      <c r="AF11" s="134"/>
    </row>
    <row r="12" spans="2:33" ht="14.25" customHeight="1" x14ac:dyDescent="0.25">
      <c r="B12" s="192" t="s">
        <v>137</v>
      </c>
      <c r="C12" s="193">
        <v>6011</v>
      </c>
      <c r="D12" s="193">
        <v>28082</v>
      </c>
      <c r="E12" s="194">
        <v>671050</v>
      </c>
      <c r="F12" s="195" t="s">
        <v>147</v>
      </c>
      <c r="G12" s="175">
        <f t="shared" si="1"/>
        <v>0</v>
      </c>
      <c r="H12" s="164">
        <f t="shared" si="0"/>
        <v>0</v>
      </c>
      <c r="I12" s="122"/>
      <c r="J12" s="176">
        <f t="shared" si="2"/>
        <v>0</v>
      </c>
      <c r="K12" s="178">
        <f t="shared" si="2"/>
        <v>0</v>
      </c>
      <c r="L12" s="167" t="s">
        <v>143</v>
      </c>
      <c r="M12" s="93">
        <f t="shared" si="3"/>
        <v>0</v>
      </c>
      <c r="N12" s="178">
        <f t="shared" si="3"/>
        <v>0</v>
      </c>
      <c r="O12" s="122" t="s">
        <v>143</v>
      </c>
      <c r="P12" s="179">
        <v>0</v>
      </c>
      <c r="Q12" s="196">
        <v>0</v>
      </c>
      <c r="R12" s="175">
        <v>-2</v>
      </c>
      <c r="S12" s="198"/>
      <c r="T12" s="196"/>
      <c r="U12" s="197"/>
      <c r="V12" s="199"/>
      <c r="W12" s="188"/>
      <c r="X12" s="120"/>
      <c r="Y12" s="189"/>
      <c r="Z12" s="188"/>
      <c r="AE12" s="194">
        <v>671050</v>
      </c>
      <c r="AF12" s="134"/>
      <c r="AG12" s="179"/>
    </row>
    <row r="13" spans="2:33" ht="14.25" customHeight="1" x14ac:dyDescent="0.25">
      <c r="B13" s="192" t="s">
        <v>137</v>
      </c>
      <c r="C13" s="193">
        <v>6011</v>
      </c>
      <c r="D13" s="193">
        <v>28120</v>
      </c>
      <c r="E13" s="194">
        <v>671070</v>
      </c>
      <c r="F13" s="195" t="s">
        <v>148</v>
      </c>
      <c r="G13" s="175">
        <f t="shared" si="1"/>
        <v>-28419</v>
      </c>
      <c r="H13" s="164">
        <f t="shared" si="0"/>
        <v>-6298.16</v>
      </c>
      <c r="I13" s="122"/>
      <c r="J13" s="176">
        <f t="shared" si="2"/>
        <v>-18726</v>
      </c>
      <c r="K13" s="178">
        <f>+Q13+W13</f>
        <v>-4589.96</v>
      </c>
      <c r="L13" s="167" t="s">
        <v>143</v>
      </c>
      <c r="M13" s="7">
        <f t="shared" si="3"/>
        <v>-9693</v>
      </c>
      <c r="N13" s="178">
        <f t="shared" si="3"/>
        <v>-1708.2</v>
      </c>
      <c r="O13" s="122" t="s">
        <v>143</v>
      </c>
      <c r="P13" s="179">
        <v>-18726</v>
      </c>
      <c r="Q13" s="196">
        <v>-4589.96</v>
      </c>
      <c r="R13" s="175">
        <v>-3</v>
      </c>
      <c r="S13" s="200">
        <v>-9693</v>
      </c>
      <c r="T13" s="196">
        <v>-1708.2</v>
      </c>
      <c r="U13" s="197">
        <v>-5</v>
      </c>
      <c r="V13" s="187"/>
      <c r="W13" s="188"/>
      <c r="X13" s="120"/>
      <c r="Y13" s="189">
        <v>0</v>
      </c>
      <c r="Z13" s="188"/>
      <c r="AE13" s="194">
        <v>671070</v>
      </c>
    </row>
    <row r="14" spans="2:33" ht="14.25" customHeight="1" x14ac:dyDescent="0.25">
      <c r="B14" s="160" t="s">
        <v>137</v>
      </c>
      <c r="C14" s="161">
        <v>6011</v>
      </c>
      <c r="D14" s="161">
        <v>28040</v>
      </c>
      <c r="E14" s="162">
        <v>671100</v>
      </c>
      <c r="F14" s="7" t="s">
        <v>149</v>
      </c>
      <c r="G14" s="175">
        <f t="shared" si="1"/>
        <v>0</v>
      </c>
      <c r="H14" s="164">
        <f>+K14+N14</f>
        <v>0</v>
      </c>
      <c r="I14" s="122"/>
      <c r="J14" s="176">
        <f>+P14+V14</f>
        <v>0</v>
      </c>
      <c r="K14" s="178">
        <f t="shared" si="2"/>
        <v>0</v>
      </c>
      <c r="L14" s="167" t="s">
        <v>143</v>
      </c>
      <c r="M14" s="201">
        <f t="shared" si="3"/>
        <v>0</v>
      </c>
      <c r="N14" s="202">
        <f t="shared" si="3"/>
        <v>0</v>
      </c>
      <c r="O14" s="122" t="s">
        <v>143</v>
      </c>
      <c r="P14" s="203"/>
      <c r="Q14" s="204"/>
      <c r="R14" s="7"/>
      <c r="S14" s="205"/>
      <c r="T14" s="180"/>
      <c r="U14" s="122"/>
      <c r="V14" s="187"/>
      <c r="W14" s="188"/>
      <c r="X14" s="120"/>
      <c r="Y14" s="189"/>
      <c r="Z14" s="206"/>
      <c r="AE14" s="184">
        <v>671100</v>
      </c>
    </row>
    <row r="15" spans="2:33" ht="14.25" customHeight="1" x14ac:dyDescent="0.25">
      <c r="B15" s="160"/>
      <c r="C15" s="207"/>
      <c r="D15" s="207"/>
      <c r="E15" s="208"/>
      <c r="F15" s="209" t="s">
        <v>150</v>
      </c>
      <c r="G15" s="210">
        <f>SUM(G6:G14)</f>
        <v>43502631</v>
      </c>
      <c r="H15" s="211">
        <f>SUM(H6:H14)</f>
        <v>13388835.219999999</v>
      </c>
      <c r="I15" s="122"/>
      <c r="J15" s="212">
        <f>SUM(J6:J14)</f>
        <v>32751954</v>
      </c>
      <c r="K15" s="103">
        <f>SUM(K6:K14)</f>
        <v>10417960.529999999</v>
      </c>
      <c r="L15" s="167"/>
      <c r="M15" s="7">
        <f>SUM(M6:M14)</f>
        <v>10750677</v>
      </c>
      <c r="N15" s="105">
        <f>SUM(N6:N14)</f>
        <v>2970874.69</v>
      </c>
      <c r="O15" s="122"/>
      <c r="P15" s="7">
        <f>SUM(P6:P14)</f>
        <v>32755165</v>
      </c>
      <c r="Q15" s="213">
        <f>SUM(Q6:Q14)</f>
        <v>10855717.569999998</v>
      </c>
      <c r="R15" s="7"/>
      <c r="S15" s="7">
        <f>SUM(S6:S14)</f>
        <v>10751896</v>
      </c>
      <c r="T15" s="213">
        <f>SUM(T6:T14)</f>
        <v>3080866.37</v>
      </c>
      <c r="U15" s="122"/>
      <c r="V15" s="214">
        <f>+SUM(V6:V14)</f>
        <v>-3211</v>
      </c>
      <c r="W15" s="213">
        <f>SUM(W6:W14)</f>
        <v>-437757.04</v>
      </c>
      <c r="X15" s="120"/>
      <c r="Y15" s="214">
        <f>SUM(Y6:Y14)</f>
        <v>-1219</v>
      </c>
      <c r="Z15" s="213">
        <f>SUM(Z6:Z14)</f>
        <v>-109991.67999999999</v>
      </c>
      <c r="AB15" s="215">
        <f>SUM(AB6:AB14)</f>
        <v>0</v>
      </c>
      <c r="AC15" s="215">
        <f>SUM(AC6:AC14)</f>
        <v>0</v>
      </c>
      <c r="AD15" s="215"/>
      <c r="AE15" s="208"/>
    </row>
    <row r="16" spans="2:33" ht="14.25" customHeight="1" x14ac:dyDescent="0.25">
      <c r="B16" s="160"/>
      <c r="C16" s="207"/>
      <c r="D16" s="207"/>
      <c r="E16" s="208"/>
      <c r="G16" s="210"/>
      <c r="H16" s="216"/>
      <c r="I16" s="122"/>
      <c r="J16" s="210"/>
      <c r="K16" s="216"/>
      <c r="L16" s="217"/>
      <c r="M16" s="210"/>
      <c r="N16" s="218"/>
      <c r="O16" s="122"/>
      <c r="P16" s="212"/>
      <c r="Q16" s="5"/>
      <c r="R16" s="7"/>
      <c r="S16" s="219"/>
      <c r="T16" s="102"/>
      <c r="U16" s="122"/>
      <c r="V16" s="220"/>
      <c r="W16" s="5"/>
      <c r="X16" s="120"/>
      <c r="Y16" s="120"/>
      <c r="Z16" s="5"/>
      <c r="AE16" s="208"/>
    </row>
    <row r="17" spans="2:33" ht="14.25" customHeight="1" x14ac:dyDescent="0.25">
      <c r="B17" s="160" t="s">
        <v>137</v>
      </c>
      <c r="C17" s="161">
        <v>6011</v>
      </c>
      <c r="D17" s="161">
        <v>28040</v>
      </c>
      <c r="E17" s="162">
        <v>672010</v>
      </c>
      <c r="F17" s="7" t="s">
        <v>151</v>
      </c>
      <c r="G17" s="163"/>
      <c r="H17" s="164">
        <f>K17+N17</f>
        <v>4817804.2799999993</v>
      </c>
      <c r="I17" s="122"/>
      <c r="J17" s="221"/>
      <c r="K17" s="166">
        <f>+Q17+W17</f>
        <v>3849003.8</v>
      </c>
      <c r="L17" s="167" t="s">
        <v>140</v>
      </c>
      <c r="M17" s="165"/>
      <c r="N17" s="166">
        <f>+T17+Z17</f>
        <v>968800.48</v>
      </c>
      <c r="O17" s="122" t="s">
        <v>140</v>
      </c>
      <c r="P17" s="165"/>
      <c r="Q17" s="169">
        <f>158356.57+3690647.23</f>
        <v>3849003.8</v>
      </c>
      <c r="R17" s="7"/>
      <c r="S17" s="168"/>
      <c r="T17" s="169">
        <f>353295.92+615504.56</f>
        <v>968800.48</v>
      </c>
      <c r="U17" s="122"/>
      <c r="V17" s="222"/>
      <c r="W17" s="171"/>
      <c r="X17" s="120"/>
      <c r="Y17" s="170"/>
      <c r="Z17" s="223"/>
      <c r="AE17" s="172">
        <v>672010</v>
      </c>
    </row>
    <row r="18" spans="2:33" ht="14.25" customHeight="1" x14ac:dyDescent="0.25">
      <c r="B18" s="160" t="s">
        <v>137</v>
      </c>
      <c r="C18" s="161">
        <v>6011</v>
      </c>
      <c r="D18" s="161">
        <v>28040</v>
      </c>
      <c r="E18" s="162">
        <v>672020</v>
      </c>
      <c r="F18" s="7" t="s">
        <v>152</v>
      </c>
      <c r="G18" s="163"/>
      <c r="H18" s="164">
        <f>K18+N18</f>
        <v>281416.93</v>
      </c>
      <c r="I18" s="122"/>
      <c r="J18" s="221"/>
      <c r="K18" s="178">
        <f>+Q18+W18</f>
        <v>243497.66</v>
      </c>
      <c r="L18" s="167" t="s">
        <v>143</v>
      </c>
      <c r="M18" s="165"/>
      <c r="N18" s="178">
        <f>+T18+Z18</f>
        <v>37919.270000000004</v>
      </c>
      <c r="O18" s="122" t="s">
        <v>143</v>
      </c>
      <c r="P18" s="165"/>
      <c r="Q18" s="180">
        <v>229370.53</v>
      </c>
      <c r="R18" s="7"/>
      <c r="T18" s="180">
        <v>34359.47</v>
      </c>
      <c r="U18" s="122"/>
      <c r="V18" s="222"/>
      <c r="W18" s="180">
        <v>14127.13</v>
      </c>
      <c r="X18" s="120"/>
      <c r="Y18" s="170"/>
      <c r="Z18" s="180">
        <v>3559.8</v>
      </c>
      <c r="AE18" s="184">
        <v>672020</v>
      </c>
      <c r="AF18" s="224"/>
    </row>
    <row r="19" spans="2:33" ht="14.25" customHeight="1" x14ac:dyDescent="0.25">
      <c r="B19" s="160" t="s">
        <v>137</v>
      </c>
      <c r="C19" s="161">
        <v>6011</v>
      </c>
      <c r="D19" s="161">
        <v>28040</v>
      </c>
      <c r="E19" s="162">
        <v>672030</v>
      </c>
      <c r="F19" s="7" t="s">
        <v>153</v>
      </c>
      <c r="G19" s="163"/>
      <c r="H19" s="164">
        <f>K19+N19</f>
        <v>0</v>
      </c>
      <c r="I19" s="122"/>
      <c r="J19" s="221"/>
      <c r="K19" s="166">
        <f>+Q19+W19</f>
        <v>0</v>
      </c>
      <c r="L19" s="167" t="s">
        <v>140</v>
      </c>
      <c r="M19" s="165"/>
      <c r="N19" s="166">
        <f>+T19+Z19</f>
        <v>0</v>
      </c>
      <c r="O19" s="122" t="s">
        <v>140</v>
      </c>
      <c r="P19" s="165"/>
      <c r="Q19" s="169"/>
      <c r="R19" s="7"/>
      <c r="S19" s="168"/>
      <c r="T19" s="169"/>
      <c r="U19" s="122"/>
      <c r="V19" s="222"/>
      <c r="W19" s="169"/>
      <c r="X19" s="120"/>
      <c r="Y19" s="170"/>
      <c r="Z19" s="169"/>
      <c r="AE19" s="172">
        <v>672030</v>
      </c>
      <c r="AF19" s="224"/>
    </row>
    <row r="20" spans="2:33" ht="14.25" customHeight="1" x14ac:dyDescent="0.25">
      <c r="B20" s="160" t="s">
        <v>137</v>
      </c>
      <c r="C20" s="161">
        <v>6011</v>
      </c>
      <c r="D20" s="161">
        <v>28040</v>
      </c>
      <c r="E20" s="162">
        <v>672040</v>
      </c>
      <c r="F20" s="7" t="s">
        <v>154</v>
      </c>
      <c r="G20" s="163"/>
      <c r="H20" s="164">
        <f>K20+N20</f>
        <v>333303.11</v>
      </c>
      <c r="I20" s="122"/>
      <c r="J20" s="221"/>
      <c r="K20" s="166">
        <f>+Q20+W20</f>
        <v>292806.78999999998</v>
      </c>
      <c r="L20" s="167" t="s">
        <v>140</v>
      </c>
      <c r="M20" s="165"/>
      <c r="N20" s="166">
        <f>+T20+Z20</f>
        <v>40496.32</v>
      </c>
      <c r="O20" s="122" t="s">
        <v>140</v>
      </c>
      <c r="P20" s="165"/>
      <c r="Q20" s="169">
        <v>292806.78999999998</v>
      </c>
      <c r="R20" s="7"/>
      <c r="S20" s="168"/>
      <c r="T20" s="169">
        <v>40496.32</v>
      </c>
      <c r="U20" s="122"/>
      <c r="V20" s="222"/>
      <c r="W20" s="169"/>
      <c r="X20" s="120"/>
      <c r="Y20" s="170"/>
      <c r="Z20" s="169"/>
      <c r="AD20" s="8">
        <v>-64.13</v>
      </c>
      <c r="AE20" s="172">
        <v>672040</v>
      </c>
      <c r="AF20" s="224"/>
      <c r="AG20" s="224"/>
    </row>
    <row r="21" spans="2:33" ht="14.25" customHeight="1" x14ac:dyDescent="0.25">
      <c r="B21" s="160" t="s">
        <v>137</v>
      </c>
      <c r="C21" s="161">
        <v>6011</v>
      </c>
      <c r="D21" s="161">
        <v>28040</v>
      </c>
      <c r="E21" s="162">
        <v>672050</v>
      </c>
      <c r="F21" s="7" t="s">
        <v>155</v>
      </c>
      <c r="G21" s="163"/>
      <c r="H21" s="164">
        <f>K21+N21</f>
        <v>-1003330.74</v>
      </c>
      <c r="I21" s="122"/>
      <c r="J21" s="225"/>
      <c r="K21" s="166">
        <f>+Q21+W21</f>
        <v>-881311.79</v>
      </c>
      <c r="L21" s="167" t="s">
        <v>140</v>
      </c>
      <c r="M21" s="165"/>
      <c r="N21" s="226">
        <f>+T21+Z21</f>
        <v>-122018.95</v>
      </c>
      <c r="O21" s="122" t="s">
        <v>140</v>
      </c>
      <c r="P21" s="165"/>
      <c r="Q21" s="169">
        <f>+-104.55-853702.3</f>
        <v>-853806.85000000009</v>
      </c>
      <c r="R21" s="227"/>
      <c r="S21" s="228"/>
      <c r="T21" s="229">
        <f>+-147.92-118066.99</f>
        <v>-118214.91</v>
      </c>
      <c r="U21" s="122"/>
      <c r="V21" s="222"/>
      <c r="W21" s="169">
        <v>-27504.94</v>
      </c>
      <c r="X21" s="120"/>
      <c r="Y21" s="170"/>
      <c r="Z21" s="169">
        <v>-3804.04</v>
      </c>
      <c r="AE21" s="172">
        <v>672050</v>
      </c>
      <c r="AF21" s="224"/>
      <c r="AG21" s="224"/>
    </row>
    <row r="22" spans="2:33" ht="14.25" customHeight="1" x14ac:dyDescent="0.25">
      <c r="B22" s="160"/>
      <c r="C22" s="207"/>
      <c r="D22" s="207"/>
      <c r="E22" s="208"/>
      <c r="F22" s="212" t="s">
        <v>156</v>
      </c>
      <c r="G22" s="230"/>
      <c r="H22" s="231">
        <f>SUM(H17:H21)</f>
        <v>4429193.5799999991</v>
      </c>
      <c r="I22" s="122"/>
      <c r="J22" s="232"/>
      <c r="K22" s="105">
        <f>SUM(K17:K21)</f>
        <v>3503996.46</v>
      </c>
      <c r="L22" s="167"/>
      <c r="M22" s="233"/>
      <c r="N22" s="105">
        <f>SUM(N17:N21)</f>
        <v>925197.12</v>
      </c>
      <c r="O22" s="122"/>
      <c r="P22" s="212"/>
      <c r="Q22" s="213">
        <f>SUM(Q17:Q21)</f>
        <v>3517374.2699999991</v>
      </c>
      <c r="R22" s="167"/>
      <c r="S22" s="234"/>
      <c r="T22" s="213">
        <f>SUM(T17:T21)</f>
        <v>925441.35999999987</v>
      </c>
      <c r="U22" s="122"/>
      <c r="V22" s="235"/>
      <c r="W22" s="236">
        <f>SUM(W17:W21)</f>
        <v>-13377.81</v>
      </c>
      <c r="X22" s="120"/>
      <c r="Y22" s="170"/>
      <c r="Z22" s="213">
        <f>SUM(Z17:Z21)</f>
        <v>-244.23999999999978</v>
      </c>
      <c r="AB22" s="215">
        <f>SUM(AB17:AB21)</f>
        <v>0</v>
      </c>
      <c r="AC22" s="215">
        <f>SUM(AC17:AC21)</f>
        <v>0</v>
      </c>
      <c r="AD22" s="215"/>
      <c r="AE22" s="208"/>
    </row>
    <row r="23" spans="2:33" ht="14.25" customHeight="1" x14ac:dyDescent="0.25">
      <c r="B23" s="160"/>
      <c r="C23" s="207"/>
      <c r="D23" s="207"/>
      <c r="E23" s="208"/>
      <c r="F23" s="237"/>
      <c r="G23" s="175"/>
      <c r="H23" s="216"/>
      <c r="I23" s="122"/>
      <c r="J23" s="221"/>
      <c r="K23" s="218"/>
      <c r="L23" s="217"/>
      <c r="M23" s="238"/>
      <c r="N23" s="218"/>
      <c r="O23" s="122"/>
      <c r="P23" s="212"/>
      <c r="Q23" s="5"/>
      <c r="R23" s="7"/>
      <c r="S23" s="239"/>
      <c r="T23" s="102"/>
      <c r="U23" s="122"/>
      <c r="V23" s="222"/>
      <c r="W23" s="103"/>
      <c r="X23" s="120"/>
      <c r="Y23" s="170"/>
      <c r="Z23" s="5"/>
      <c r="AE23" s="208"/>
    </row>
    <row r="24" spans="2:33" ht="14.25" customHeight="1" x14ac:dyDescent="0.25">
      <c r="B24" s="160" t="s">
        <v>137</v>
      </c>
      <c r="C24" s="161">
        <v>6011</v>
      </c>
      <c r="D24" s="161">
        <v>28040</v>
      </c>
      <c r="E24" s="162">
        <v>673020</v>
      </c>
      <c r="F24" s="7" t="s">
        <v>157</v>
      </c>
      <c r="G24" s="163"/>
      <c r="H24" s="164">
        <f>K24+N24</f>
        <v>63841.32</v>
      </c>
      <c r="I24" s="122"/>
      <c r="J24" s="221"/>
      <c r="K24" s="166">
        <f t="shared" ref="K24:K37" si="4">+Q24+W24</f>
        <v>56084.6</v>
      </c>
      <c r="L24" s="167" t="s">
        <v>140</v>
      </c>
      <c r="M24" s="165"/>
      <c r="N24" s="166">
        <f t="shared" ref="N24:N33" si="5">+T24+Z24</f>
        <v>7756.72</v>
      </c>
      <c r="O24" s="122" t="s">
        <v>140</v>
      </c>
      <c r="P24" s="165"/>
      <c r="Q24" s="169">
        <v>56084.6</v>
      </c>
      <c r="R24" s="7"/>
      <c r="S24" s="168"/>
      <c r="T24" s="169">
        <v>7756.72</v>
      </c>
      <c r="U24" s="122"/>
      <c r="V24" s="222"/>
      <c r="W24" s="171"/>
      <c r="X24" s="240"/>
      <c r="Y24" s="240"/>
      <c r="Z24" s="171"/>
      <c r="AE24" s="172">
        <v>673020</v>
      </c>
    </row>
    <row r="25" spans="2:33" ht="14.25" customHeight="1" x14ac:dyDescent="0.25">
      <c r="B25" s="160" t="s">
        <v>137</v>
      </c>
      <c r="C25" s="161">
        <v>6011</v>
      </c>
      <c r="D25" s="161">
        <v>28040</v>
      </c>
      <c r="E25" s="162">
        <v>673030</v>
      </c>
      <c r="F25" s="7" t="s">
        <v>158</v>
      </c>
      <c r="G25" s="163"/>
      <c r="H25" s="164">
        <f t="shared" ref="H25:H37" si="6">K25+N25</f>
        <v>65756.460000000006</v>
      </c>
      <c r="I25" s="122"/>
      <c r="J25" s="221"/>
      <c r="K25" s="166">
        <f t="shared" si="4"/>
        <v>59305.75</v>
      </c>
      <c r="L25" s="167" t="s">
        <v>140</v>
      </c>
      <c r="M25" s="165"/>
      <c r="N25" s="166">
        <f t="shared" si="5"/>
        <v>6450.71</v>
      </c>
      <c r="O25" s="122" t="s">
        <v>140</v>
      </c>
      <c r="P25" s="165"/>
      <c r="Q25" s="169">
        <v>59305.75</v>
      </c>
      <c r="R25" s="7"/>
      <c r="S25" s="168"/>
      <c r="T25" s="169">
        <v>6450.71</v>
      </c>
      <c r="U25" s="122"/>
      <c r="V25" s="222"/>
      <c r="W25" s="171"/>
      <c r="X25" s="240"/>
      <c r="Y25" s="240"/>
      <c r="Z25" s="171"/>
      <c r="AE25" s="172">
        <v>673030</v>
      </c>
    </row>
    <row r="26" spans="2:33" ht="14.25" customHeight="1" x14ac:dyDescent="0.25">
      <c r="B26" s="160" t="s">
        <v>137</v>
      </c>
      <c r="C26" s="161">
        <v>6011</v>
      </c>
      <c r="D26" s="161">
        <v>28040</v>
      </c>
      <c r="E26" s="162">
        <v>673040</v>
      </c>
      <c r="F26" s="7" t="s">
        <v>159</v>
      </c>
      <c r="G26" s="163"/>
      <c r="H26" s="164">
        <f t="shared" si="6"/>
        <v>0</v>
      </c>
      <c r="I26" s="122"/>
      <c r="J26" s="221"/>
      <c r="K26" s="178">
        <f t="shared" si="4"/>
        <v>0</v>
      </c>
      <c r="L26" s="167" t="s">
        <v>143</v>
      </c>
      <c r="M26" s="165"/>
      <c r="N26" s="178">
        <f>+T26+Z26</f>
        <v>0</v>
      </c>
      <c r="O26" s="122" t="s">
        <v>143</v>
      </c>
      <c r="P26" s="165"/>
      <c r="Q26" s="180"/>
      <c r="R26" s="7"/>
      <c r="S26" s="168"/>
      <c r="T26" s="180"/>
      <c r="U26" s="122"/>
      <c r="V26" s="222"/>
      <c r="W26" s="188"/>
      <c r="X26" s="240"/>
      <c r="Y26" s="240"/>
      <c r="Z26" s="188"/>
      <c r="AE26" s="184">
        <v>673040</v>
      </c>
    </row>
    <row r="27" spans="2:33" ht="14.25" customHeight="1" x14ac:dyDescent="0.25">
      <c r="B27" s="160" t="s">
        <v>137</v>
      </c>
      <c r="C27" s="161">
        <v>6011</v>
      </c>
      <c r="D27" s="161">
        <v>28040</v>
      </c>
      <c r="E27" s="162">
        <v>673050</v>
      </c>
      <c r="F27" s="7" t="s">
        <v>160</v>
      </c>
      <c r="G27" s="163"/>
      <c r="H27" s="164">
        <f t="shared" si="6"/>
        <v>31344.98</v>
      </c>
      <c r="I27" s="122"/>
      <c r="J27" s="221"/>
      <c r="K27" s="178">
        <f t="shared" si="4"/>
        <v>28270.04</v>
      </c>
      <c r="L27" s="167" t="s">
        <v>143</v>
      </c>
      <c r="M27" s="165"/>
      <c r="N27" s="178">
        <f t="shared" si="5"/>
        <v>3074.94</v>
      </c>
      <c r="O27" s="122" t="s">
        <v>140</v>
      </c>
      <c r="P27" s="165"/>
      <c r="Q27" s="180"/>
      <c r="R27" s="7"/>
      <c r="S27" s="168"/>
      <c r="T27" s="180"/>
      <c r="U27" s="122"/>
      <c r="V27" s="222"/>
      <c r="W27" s="180">
        <v>28270.04</v>
      </c>
      <c r="X27" s="240"/>
      <c r="Y27" s="240"/>
      <c r="Z27" s="180">
        <v>3074.94</v>
      </c>
      <c r="AE27" s="184">
        <v>673050</v>
      </c>
    </row>
    <row r="28" spans="2:33" ht="14.25" customHeight="1" x14ac:dyDescent="0.25">
      <c r="B28" s="160" t="s">
        <v>137</v>
      </c>
      <c r="C28" s="161">
        <v>6011</v>
      </c>
      <c r="D28" s="161">
        <v>28040</v>
      </c>
      <c r="E28" s="162">
        <v>673060</v>
      </c>
      <c r="F28" s="7" t="s">
        <v>161</v>
      </c>
      <c r="G28" s="163"/>
      <c r="H28" s="164">
        <f t="shared" si="6"/>
        <v>0</v>
      </c>
      <c r="I28" s="122"/>
      <c r="J28" s="221"/>
      <c r="K28" s="178">
        <f t="shared" si="4"/>
        <v>0</v>
      </c>
      <c r="L28" s="167" t="s">
        <v>143</v>
      </c>
      <c r="M28" s="165"/>
      <c r="N28" s="178">
        <f t="shared" si="5"/>
        <v>0</v>
      </c>
      <c r="O28" s="122" t="s">
        <v>140</v>
      </c>
      <c r="P28" s="165"/>
      <c r="Q28" s="180"/>
      <c r="R28" s="7"/>
      <c r="S28" s="168"/>
      <c r="T28" s="180"/>
      <c r="U28" s="122"/>
      <c r="V28" s="222"/>
      <c r="W28" s="188"/>
      <c r="X28" s="240"/>
      <c r="Y28" s="240"/>
      <c r="Z28" s="188"/>
      <c r="AE28" s="184">
        <v>673060</v>
      </c>
    </row>
    <row r="29" spans="2:33" ht="14.25" customHeight="1" x14ac:dyDescent="0.25">
      <c r="B29" s="160" t="s">
        <v>137</v>
      </c>
      <c r="C29" s="161">
        <v>6011</v>
      </c>
      <c r="D29" s="161">
        <v>28040</v>
      </c>
      <c r="E29" s="162">
        <v>673070</v>
      </c>
      <c r="F29" s="7" t="s">
        <v>162</v>
      </c>
      <c r="G29" s="163"/>
      <c r="H29" s="164">
        <f t="shared" si="6"/>
        <v>0</v>
      </c>
      <c r="I29" s="122"/>
      <c r="J29" s="221"/>
      <c r="K29" s="166">
        <f t="shared" si="4"/>
        <v>0</v>
      </c>
      <c r="L29" s="167" t="s">
        <v>143</v>
      </c>
      <c r="M29" s="165"/>
      <c r="N29" s="166">
        <f t="shared" si="5"/>
        <v>0</v>
      </c>
      <c r="O29" s="122" t="s">
        <v>140</v>
      </c>
      <c r="P29" s="165"/>
      <c r="Q29" s="169"/>
      <c r="R29" s="7"/>
      <c r="S29" s="168"/>
      <c r="T29" s="169"/>
      <c r="U29" s="122"/>
      <c r="V29" s="222"/>
      <c r="W29" s="171"/>
      <c r="X29" s="240"/>
      <c r="Y29" s="240"/>
      <c r="Z29" s="171"/>
      <c r="AE29" s="172">
        <v>673070</v>
      </c>
    </row>
    <row r="30" spans="2:33" ht="14.25" customHeight="1" x14ac:dyDescent="0.25">
      <c r="B30" s="160" t="s">
        <v>137</v>
      </c>
      <c r="C30" s="161">
        <v>6011</v>
      </c>
      <c r="D30" s="161">
        <v>28040</v>
      </c>
      <c r="E30" s="162">
        <v>673080</v>
      </c>
      <c r="F30" s="7" t="s">
        <v>163</v>
      </c>
      <c r="G30" s="163"/>
      <c r="H30" s="164">
        <f t="shared" si="6"/>
        <v>18033.25</v>
      </c>
      <c r="I30" s="122"/>
      <c r="J30" s="221"/>
      <c r="K30" s="166">
        <f t="shared" si="4"/>
        <v>16370.58</v>
      </c>
      <c r="L30" s="167" t="s">
        <v>140</v>
      </c>
      <c r="M30" s="165"/>
      <c r="N30" s="166">
        <f t="shared" si="5"/>
        <v>1662.67</v>
      </c>
      <c r="O30" s="122" t="s">
        <v>140</v>
      </c>
      <c r="P30" s="165"/>
      <c r="Q30" s="169">
        <v>16370.58</v>
      </c>
      <c r="R30" s="7"/>
      <c r="S30" s="168"/>
      <c r="T30" s="169">
        <v>1662.67</v>
      </c>
      <c r="U30" s="122"/>
      <c r="V30" s="222"/>
      <c r="W30" s="171"/>
      <c r="X30" s="240"/>
      <c r="Y30" s="240"/>
      <c r="Z30" s="171"/>
      <c r="AE30" s="172">
        <v>673080</v>
      </c>
    </row>
    <row r="31" spans="2:33" ht="14.25" customHeight="1" x14ac:dyDescent="0.25">
      <c r="B31" s="160" t="s">
        <v>137</v>
      </c>
      <c r="C31" s="161">
        <v>6011</v>
      </c>
      <c r="D31" s="161">
        <v>28040</v>
      </c>
      <c r="E31" s="162">
        <v>673090</v>
      </c>
      <c r="F31" s="7" t="s">
        <v>164</v>
      </c>
      <c r="G31" s="163"/>
      <c r="H31" s="164">
        <f t="shared" si="6"/>
        <v>0</v>
      </c>
      <c r="I31" s="122"/>
      <c r="J31" s="221"/>
      <c r="K31" s="178">
        <f t="shared" si="4"/>
        <v>0</v>
      </c>
      <c r="L31" s="167" t="s">
        <v>143</v>
      </c>
      <c r="M31" s="165"/>
      <c r="N31" s="178">
        <f>+T31+Z31</f>
        <v>0</v>
      </c>
      <c r="O31" s="122" t="s">
        <v>143</v>
      </c>
      <c r="P31" s="165"/>
      <c r="Q31" s="180"/>
      <c r="R31" s="7"/>
      <c r="S31" s="168"/>
      <c r="T31" s="180"/>
      <c r="U31" s="122"/>
      <c r="V31" s="222"/>
      <c r="W31" s="188"/>
      <c r="X31" s="240"/>
      <c r="Y31" s="240"/>
      <c r="Z31" s="188"/>
      <c r="AE31" s="184">
        <v>673090</v>
      </c>
    </row>
    <row r="32" spans="2:33" ht="14.25" customHeight="1" x14ac:dyDescent="0.25">
      <c r="B32" s="160" t="s">
        <v>137</v>
      </c>
      <c r="C32" s="161">
        <v>6011</v>
      </c>
      <c r="D32" s="161">
        <v>28040</v>
      </c>
      <c r="E32" s="162">
        <v>673120</v>
      </c>
      <c r="F32" s="7" t="s">
        <v>165</v>
      </c>
      <c r="G32" s="163"/>
      <c r="H32" s="164">
        <f t="shared" si="6"/>
        <v>144910.07999999999</v>
      </c>
      <c r="I32" s="122"/>
      <c r="J32" s="221"/>
      <c r="K32" s="166">
        <f t="shared" si="4"/>
        <v>127303.51</v>
      </c>
      <c r="L32" s="167" t="s">
        <v>140</v>
      </c>
      <c r="M32" s="165"/>
      <c r="N32" s="166">
        <f t="shared" si="5"/>
        <v>17606.57</v>
      </c>
      <c r="O32" s="122" t="s">
        <v>140</v>
      </c>
      <c r="P32" s="165"/>
      <c r="Q32" s="169">
        <v>127303.51</v>
      </c>
      <c r="R32" s="7"/>
      <c r="S32" s="168"/>
      <c r="T32" s="169">
        <v>17606.57</v>
      </c>
      <c r="U32" s="122"/>
      <c r="V32" s="222"/>
      <c r="W32" s="171"/>
      <c r="X32" s="240"/>
      <c r="Y32" s="240"/>
      <c r="Z32" s="171"/>
      <c r="AE32" s="172">
        <v>673120</v>
      </c>
    </row>
    <row r="33" spans="2:32" ht="14.25" customHeight="1" x14ac:dyDescent="0.25">
      <c r="B33" s="160" t="s">
        <v>137</v>
      </c>
      <c r="C33" s="161">
        <v>6011</v>
      </c>
      <c r="D33" s="161">
        <v>28040</v>
      </c>
      <c r="E33" s="162">
        <v>673130</v>
      </c>
      <c r="F33" s="7" t="s">
        <v>166</v>
      </c>
      <c r="G33" s="163"/>
      <c r="H33" s="164">
        <f t="shared" si="6"/>
        <v>0</v>
      </c>
      <c r="I33" s="122"/>
      <c r="J33" s="221"/>
      <c r="K33" s="166">
        <f t="shared" si="4"/>
        <v>0</v>
      </c>
      <c r="L33" s="167" t="s">
        <v>140</v>
      </c>
      <c r="M33" s="165"/>
      <c r="N33" s="166">
        <f t="shared" si="5"/>
        <v>0</v>
      </c>
      <c r="O33" s="122" t="s">
        <v>140</v>
      </c>
      <c r="P33" s="165"/>
      <c r="Q33" s="169"/>
      <c r="R33" s="7"/>
      <c r="S33" s="168"/>
      <c r="T33" s="169"/>
      <c r="U33" s="122"/>
      <c r="V33" s="222"/>
      <c r="W33" s="171"/>
      <c r="X33" s="120"/>
      <c r="Y33" s="170"/>
      <c r="Z33" s="171"/>
      <c r="AE33" s="172">
        <v>673130</v>
      </c>
    </row>
    <row r="34" spans="2:32" ht="14.25" customHeight="1" x14ac:dyDescent="0.25">
      <c r="B34" s="160" t="s">
        <v>137</v>
      </c>
      <c r="C34" s="161">
        <v>6011</v>
      </c>
      <c r="D34" s="161">
        <v>28040</v>
      </c>
      <c r="E34" s="162">
        <v>673140</v>
      </c>
      <c r="F34" s="7" t="s">
        <v>167</v>
      </c>
      <c r="G34" s="163"/>
      <c r="H34" s="164">
        <f t="shared" si="6"/>
        <v>0</v>
      </c>
      <c r="I34" s="122"/>
      <c r="J34" s="221"/>
      <c r="K34" s="178">
        <f t="shared" si="4"/>
        <v>0</v>
      </c>
      <c r="L34" s="167" t="s">
        <v>143</v>
      </c>
      <c r="M34" s="165"/>
      <c r="N34" s="178">
        <f>+T34+Z34</f>
        <v>0</v>
      </c>
      <c r="O34" s="122" t="s">
        <v>143</v>
      </c>
      <c r="P34" s="165"/>
      <c r="Q34" s="180"/>
      <c r="R34" s="7"/>
      <c r="S34" s="168"/>
      <c r="T34" s="180"/>
      <c r="U34" s="122"/>
      <c r="V34" s="222"/>
      <c r="W34" s="188"/>
      <c r="X34" s="120"/>
      <c r="Y34" s="170"/>
      <c r="Z34" s="188"/>
      <c r="AE34" s="184">
        <v>673140</v>
      </c>
    </row>
    <row r="35" spans="2:32" ht="14.25" customHeight="1" x14ac:dyDescent="0.25">
      <c r="B35" s="160" t="s">
        <v>137</v>
      </c>
      <c r="C35" s="161">
        <v>6011</v>
      </c>
      <c r="D35" s="161">
        <v>28040</v>
      </c>
      <c r="E35" s="162">
        <v>673160</v>
      </c>
      <c r="F35" s="7" t="s">
        <v>168</v>
      </c>
      <c r="G35" s="163"/>
      <c r="H35" s="164">
        <f t="shared" si="6"/>
        <v>0</v>
      </c>
      <c r="I35" s="122"/>
      <c r="J35" s="221"/>
      <c r="K35" s="178">
        <f t="shared" si="4"/>
        <v>0</v>
      </c>
      <c r="L35" s="167" t="s">
        <v>143</v>
      </c>
      <c r="M35" s="165"/>
      <c r="N35" s="178">
        <f>+T35+Z35</f>
        <v>0</v>
      </c>
      <c r="O35" s="122" t="s">
        <v>143</v>
      </c>
      <c r="P35" s="165"/>
      <c r="Q35" s="180"/>
      <c r="R35" s="7"/>
      <c r="S35" s="168"/>
      <c r="T35" s="180"/>
      <c r="U35" s="122"/>
      <c r="V35" s="222"/>
      <c r="W35" s="188"/>
      <c r="X35" s="120"/>
      <c r="Y35" s="170"/>
      <c r="Z35" s="188"/>
      <c r="AE35" s="184">
        <v>673160</v>
      </c>
    </row>
    <row r="36" spans="2:32" ht="14.25" customHeight="1" x14ac:dyDescent="0.25">
      <c r="B36" s="160" t="s">
        <v>137</v>
      </c>
      <c r="C36" s="161">
        <v>6011</v>
      </c>
      <c r="D36" s="161">
        <v>28040</v>
      </c>
      <c r="E36" s="162">
        <v>673180</v>
      </c>
      <c r="F36" s="7" t="s">
        <v>169</v>
      </c>
      <c r="G36" s="163"/>
      <c r="H36" s="164">
        <f t="shared" si="6"/>
        <v>19386.62</v>
      </c>
      <c r="I36" s="122"/>
      <c r="J36" s="221"/>
      <c r="K36" s="166">
        <f>+Q36+W36</f>
        <v>17599.169999999998</v>
      </c>
      <c r="L36" s="167" t="s">
        <v>140</v>
      </c>
      <c r="M36" s="165"/>
      <c r="N36" s="166">
        <f>+T36+Z36</f>
        <v>1787.45</v>
      </c>
      <c r="O36" s="122" t="s">
        <v>140</v>
      </c>
      <c r="P36" s="165"/>
      <c r="Q36" s="169">
        <v>17599.169999999998</v>
      </c>
      <c r="R36" s="7"/>
      <c r="S36" s="168"/>
      <c r="T36" s="169">
        <v>1787.45</v>
      </c>
      <c r="U36" s="122"/>
      <c r="V36" s="222"/>
      <c r="W36" s="171"/>
      <c r="X36" s="240"/>
      <c r="Y36" s="240"/>
      <c r="Z36" s="171"/>
      <c r="AE36" s="172">
        <v>673180</v>
      </c>
    </row>
    <row r="37" spans="2:32" ht="14.25" customHeight="1" x14ac:dyDescent="0.25">
      <c r="B37" s="160" t="s">
        <v>137</v>
      </c>
      <c r="C37" s="161">
        <v>6011</v>
      </c>
      <c r="D37" s="161">
        <v>28040</v>
      </c>
      <c r="E37" s="162">
        <v>673190</v>
      </c>
      <c r="F37" s="201" t="s">
        <v>170</v>
      </c>
      <c r="G37" s="163"/>
      <c r="H37" s="241">
        <f t="shared" si="6"/>
        <v>0</v>
      </c>
      <c r="I37" s="122"/>
      <c r="J37" s="221"/>
      <c r="K37" s="178">
        <f t="shared" si="4"/>
        <v>0</v>
      </c>
      <c r="L37" s="167" t="s">
        <v>143</v>
      </c>
      <c r="M37" s="242"/>
      <c r="N37" s="178">
        <f>+T37+Z37</f>
        <v>0</v>
      </c>
      <c r="O37" s="122" t="s">
        <v>143</v>
      </c>
      <c r="P37" s="242"/>
      <c r="Q37" s="188"/>
      <c r="R37" s="7"/>
      <c r="S37" s="242"/>
      <c r="T37" s="206"/>
      <c r="U37" s="122"/>
      <c r="V37" s="243"/>
      <c r="W37" s="188"/>
      <c r="X37" s="120"/>
      <c r="Y37" s="170"/>
      <c r="Z37" s="188"/>
      <c r="AE37" s="184">
        <v>673190</v>
      </c>
    </row>
    <row r="38" spans="2:32" ht="15" x14ac:dyDescent="0.25">
      <c r="F38" s="7" t="s">
        <v>171</v>
      </c>
      <c r="G38" s="230"/>
      <c r="H38" s="164">
        <f>SUM(H24:H37)</f>
        <v>343272.70999999996</v>
      </c>
      <c r="I38" s="122"/>
      <c r="J38" s="230"/>
      <c r="K38" s="105">
        <f>SUM(K24:K37)</f>
        <v>304933.64999999997</v>
      </c>
      <c r="L38" s="167"/>
      <c r="M38" s="7"/>
      <c r="N38" s="105">
        <f>SUM(N24:N37)</f>
        <v>38339.06</v>
      </c>
      <c r="O38" s="122"/>
      <c r="P38" s="239"/>
      <c r="Q38" s="213">
        <f>SUM(Q24:Q37)</f>
        <v>276663.61</v>
      </c>
      <c r="R38" s="167"/>
      <c r="S38" s="104"/>
      <c r="T38" s="213">
        <f>SUM(T24:T37)</f>
        <v>35264.119999999995</v>
      </c>
      <c r="U38" s="122"/>
      <c r="W38" s="213">
        <f>SUM(W24:W37)</f>
        <v>28270.04</v>
      </c>
      <c r="Y38" s="245"/>
      <c r="Z38" s="213">
        <f>SUM(Z24:Z37)</f>
        <v>3074.94</v>
      </c>
      <c r="AB38" s="215">
        <f>SUM(AB24:AB37)</f>
        <v>0</v>
      </c>
      <c r="AC38" s="215">
        <f>SUM(AC24:AC37)</f>
        <v>0</v>
      </c>
      <c r="AD38" s="215"/>
    </row>
    <row r="39" spans="2:32" ht="14.1" customHeight="1" x14ac:dyDescent="0.25">
      <c r="F39" s="237"/>
      <c r="H39" s="246"/>
      <c r="I39" s="122"/>
      <c r="J39" s="230"/>
      <c r="K39" s="247"/>
      <c r="L39" s="248"/>
      <c r="M39" s="230"/>
      <c r="N39" s="247"/>
      <c r="O39" s="122"/>
      <c r="P39" s="234"/>
      <c r="Q39" s="249"/>
      <c r="R39" s="239"/>
      <c r="S39" s="234"/>
      <c r="T39" s="249"/>
      <c r="U39" s="122"/>
      <c r="V39" s="250"/>
      <c r="W39" s="209"/>
      <c r="Z39" s="106"/>
      <c r="AB39" s="121"/>
      <c r="AC39" s="121"/>
      <c r="AD39" s="121"/>
    </row>
    <row r="40" spans="2:32" ht="15.75" customHeight="1" x14ac:dyDescent="0.25">
      <c r="F40" s="104" t="s">
        <v>172</v>
      </c>
      <c r="G40" s="230">
        <f>+G38+G22+G15</f>
        <v>43502631</v>
      </c>
      <c r="H40" s="164">
        <f>+H38+H22+H15</f>
        <v>18161301.509999998</v>
      </c>
      <c r="I40" s="122"/>
      <c r="J40" s="251">
        <f>+J38+J22+J15</f>
        <v>32751954</v>
      </c>
      <c r="K40" s="213">
        <f>+K38+K22+K15</f>
        <v>14226890.639999999</v>
      </c>
      <c r="L40" s="252"/>
      <c r="M40" s="251">
        <f>+M38+M22+M15</f>
        <v>10750677</v>
      </c>
      <c r="N40" s="213">
        <f>+N38+N22+N15</f>
        <v>3934410.87</v>
      </c>
      <c r="O40" s="144"/>
      <c r="P40" s="253">
        <f>+P38+P22+P15</f>
        <v>32755165</v>
      </c>
      <c r="Q40" s="254">
        <f>+Q38+Q22+Q15</f>
        <v>14649755.449999997</v>
      </c>
      <c r="R40" s="78"/>
      <c r="S40" s="253">
        <f>+S38+S22+S15</f>
        <v>10751896</v>
      </c>
      <c r="T40" s="254">
        <f>+T38+T22+T15</f>
        <v>4041571.85</v>
      </c>
      <c r="U40" s="122"/>
      <c r="V40" s="255">
        <f>+V38+V22+V15</f>
        <v>-3211</v>
      </c>
      <c r="W40" s="213">
        <f>+W38+W22+W15</f>
        <v>-422864.81</v>
      </c>
      <c r="Y40" s="8">
        <f>+Y38+Y22+Y15</f>
        <v>-1219</v>
      </c>
      <c r="Z40" s="213">
        <f>+Z38+Z22+Z15</f>
        <v>-107160.98</v>
      </c>
      <c r="AB40" s="215">
        <f>+AB38+AB22+AB15</f>
        <v>0</v>
      </c>
      <c r="AC40" s="215">
        <f>+AC38+AC22+AC15</f>
        <v>0</v>
      </c>
      <c r="AD40" s="215"/>
      <c r="AE40" s="224"/>
    </row>
    <row r="41" spans="2:32" ht="14.1" customHeight="1" x14ac:dyDescent="0.25">
      <c r="H41" s="256"/>
      <c r="I41" s="122"/>
      <c r="J41" s="175"/>
      <c r="K41" s="218"/>
      <c r="L41" s="248"/>
      <c r="M41" s="175"/>
      <c r="N41" s="218"/>
      <c r="O41" s="122"/>
      <c r="P41" s="239"/>
      <c r="Q41" s="102"/>
      <c r="R41" s="239"/>
      <c r="S41" s="239"/>
      <c r="T41" s="102"/>
      <c r="U41" s="122"/>
      <c r="W41" s="106"/>
      <c r="Z41" s="106"/>
    </row>
    <row r="42" spans="2:32" ht="14.1" customHeight="1" x14ac:dyDescent="0.25">
      <c r="C42" s="175" t="s">
        <v>173</v>
      </c>
      <c r="I42" s="122"/>
      <c r="J42" s="257"/>
      <c r="K42" s="258">
        <f>+K8+K9+K10+K11+K12+K13+K14+K18+K26+K27+K28+K31+K34+K35+K37</f>
        <v>10399163.649999999</v>
      </c>
      <c r="L42" s="248" t="s">
        <v>143</v>
      </c>
      <c r="M42" s="175"/>
      <c r="N42" s="259">
        <f>+N8+N9+N10+N11+N12+N13+N14+N18+N26+N31+N34+N35+N37+N27+N28</f>
        <v>2549855.5699999998</v>
      </c>
      <c r="O42" s="260" t="s">
        <v>143</v>
      </c>
      <c r="P42" s="239"/>
      <c r="Q42" s="261">
        <f>+Q8+Q9+Q10+Q11+Q12+Q13+Q14+Q18+Q26+Q27+Q28+Q31+Q34+Q35+Q37</f>
        <v>10794289.329999998</v>
      </c>
      <c r="R42" s="239"/>
      <c r="S42" s="257"/>
      <c r="T42" s="261">
        <f>+T8+T10+T9+T11+T12+T13+T14+T18+T26+T31+T34+T35+T37+T27+T28</f>
        <v>2652425.9500000002</v>
      </c>
      <c r="U42" s="122"/>
      <c r="W42" s="262">
        <f>+W8+W9+W10+W11+W12+W13+W14+W18+W26+W27+W28+W31+W34+W35+W37</f>
        <v>-395125.68</v>
      </c>
      <c r="Z42" s="262">
        <f>Z9+Z10+Z11+Z12+Z13+Z14+Z18+Z26+Z31+Z34+Z35+Z37+Z8+Z27+Z28</f>
        <v>-102570.37999999999</v>
      </c>
      <c r="AB42" s="263">
        <f>+AB8+AB9+AB10+AB11+AB12+AB13+AB14+AB18+AB26+AB27+AB28+AB29+AB31+AB34+AB35+AB37</f>
        <v>0</v>
      </c>
      <c r="AC42" s="263">
        <f>+AC6+AC8+AC9+AC10+AC11+AC12+AC13+AC14+AC18+AC26+AC31+AC34+AC35+AC37</f>
        <v>0</v>
      </c>
    </row>
    <row r="43" spans="2:32" ht="14.1" customHeight="1" x14ac:dyDescent="0.25">
      <c r="C43" s="175" t="s">
        <v>174</v>
      </c>
      <c r="I43" s="122"/>
      <c r="J43" s="257"/>
      <c r="K43" s="258">
        <f>+K6+K7+K17+K24+K25+K30+K32+K33+K36+K19+K20+K21+K29</f>
        <v>3827726.9899999993</v>
      </c>
      <c r="L43" s="248" t="s">
        <v>140</v>
      </c>
      <c r="M43" s="175"/>
      <c r="N43" s="259">
        <f>N6+N7+N17+N24+N25+N30+N32+N33+N36+N19+N20+N21+N29</f>
        <v>1384555.3</v>
      </c>
      <c r="O43" s="260" t="s">
        <v>140</v>
      </c>
      <c r="P43" s="239"/>
      <c r="Q43" s="264">
        <f>Q6+Q7+Q17+Q24+Q25+Q30+Q32+Q33+Q36+Q19+Q20+Q21+Q29</f>
        <v>3855466.1199999996</v>
      </c>
      <c r="R43" s="239"/>
      <c r="S43" s="257"/>
      <c r="T43" s="264">
        <f>+T7+T6+T17+T24+T25+T30+T32+T33+T36+T19+T20+T21+T29</f>
        <v>1389145.9000000001</v>
      </c>
      <c r="U43" s="122"/>
      <c r="W43" s="265">
        <f>W6+W7+W17+W24+W25+W30+W32+W33+W36+W19+W20+W21+W29</f>
        <v>-27739.129999999997</v>
      </c>
      <c r="Z43" s="265">
        <f>+Z7+Z17+Z24+Z25+Z30+Z32+Z33+Z36+Z19+Z20+Z21+Z29+Z6</f>
        <v>-4590.6000000000004</v>
      </c>
      <c r="AB43" s="266">
        <f>AB6+AB7+AB17+AB24+AB25+AB30+AB32+AB33+AB36</f>
        <v>0</v>
      </c>
      <c r="AC43" s="266">
        <f>+AC7+AC17+AC24+AC25+AC27+AC28+AC29+AC30+AC32+AC33+AC36</f>
        <v>0</v>
      </c>
    </row>
    <row r="44" spans="2:32" ht="15" customHeight="1" x14ac:dyDescent="0.25">
      <c r="C44" s="175" t="s">
        <v>12</v>
      </c>
      <c r="I44" s="122"/>
      <c r="J44" s="175"/>
      <c r="K44" s="213">
        <f>SUM(K42:K43)</f>
        <v>14226890.639999997</v>
      </c>
      <c r="L44" s="267"/>
      <c r="M44" s="175"/>
      <c r="N44" s="213">
        <f>SUM(N42:N43)</f>
        <v>3934410.87</v>
      </c>
      <c r="O44" s="122"/>
      <c r="P44" s="239"/>
      <c r="Q44" s="254">
        <f>SUM(Q42:Q43)</f>
        <v>14649755.449999997</v>
      </c>
      <c r="R44" s="239"/>
      <c r="S44" s="239"/>
      <c r="T44" s="254">
        <f>SUM(T42:T43)</f>
        <v>4041571.8500000006</v>
      </c>
      <c r="U44" s="122"/>
      <c r="W44" s="213">
        <f>SUM(W42:W43)</f>
        <v>-422864.81</v>
      </c>
      <c r="Z44" s="213">
        <f>SUM(Z42:Z43)</f>
        <v>-107160.98</v>
      </c>
      <c r="AB44" s="268">
        <f>SUM(AB42:AB43)</f>
        <v>0</v>
      </c>
      <c r="AC44" s="268">
        <f>SUM(AC42:AC43)</f>
        <v>0</v>
      </c>
      <c r="AD44" s="269"/>
      <c r="AE44" s="270">
        <f>+Z44+W44</f>
        <v>-530025.79</v>
      </c>
    </row>
    <row r="45" spans="2:32" ht="15" customHeight="1" x14ac:dyDescent="0.25">
      <c r="L45" s="110"/>
      <c r="AE45" s="270">
        <f>+'[3]Supplier Invoices'!$Q$95</f>
        <v>-530025.79154499946</v>
      </c>
      <c r="AF45" s="77" t="s">
        <v>175</v>
      </c>
    </row>
    <row r="46" spans="2:32" ht="15" customHeight="1" x14ac:dyDescent="0.25">
      <c r="J46" s="7" t="s">
        <v>176</v>
      </c>
      <c r="K46" s="271">
        <f>K44+N44</f>
        <v>18161301.509999998</v>
      </c>
      <c r="P46" s="272" t="s">
        <v>177</v>
      </c>
      <c r="Q46" s="273">
        <f>Q44-Q11-Q12-Q13</f>
        <v>13629149.579999998</v>
      </c>
      <c r="R46" s="124"/>
      <c r="S46" s="272" t="s">
        <v>177</v>
      </c>
      <c r="T46" s="273">
        <f>T44-T11-T12-T13</f>
        <v>3904670.8800000008</v>
      </c>
      <c r="W46" s="224"/>
      <c r="AE46" s="274">
        <f>+AE44-AE45</f>
        <v>1.5449994243681431E-3</v>
      </c>
    </row>
    <row r="47" spans="2:32" ht="15" customHeight="1" x14ac:dyDescent="0.25">
      <c r="F47" s="275"/>
      <c r="K47" s="276"/>
      <c r="P47" s="277" t="s">
        <v>178</v>
      </c>
      <c r="Q47" s="278">
        <f>W44</f>
        <v>-422864.81</v>
      </c>
      <c r="R47" s="279"/>
      <c r="S47" s="277" t="s">
        <v>178</v>
      </c>
      <c r="T47" s="278">
        <f>Z44</f>
        <v>-107160.98</v>
      </c>
      <c r="W47" s="280"/>
    </row>
    <row r="48" spans="2:32" ht="15" customHeight="1" x14ac:dyDescent="0.25">
      <c r="F48" s="275"/>
      <c r="G48" s="8" t="s">
        <v>179</v>
      </c>
      <c r="Q48" s="281">
        <f>Q46+Q47</f>
        <v>13206284.769999998</v>
      </c>
      <c r="R48" s="282"/>
      <c r="S48" s="282"/>
      <c r="T48" s="281">
        <f>T46+T47</f>
        <v>3797509.9000000008</v>
      </c>
      <c r="U48" s="280"/>
      <c r="V48" s="280"/>
      <c r="W48" s="283"/>
      <c r="Z48" s="284"/>
    </row>
    <row r="49" spans="2:26" ht="15" customHeight="1" x14ac:dyDescent="0.25">
      <c r="F49" s="275"/>
      <c r="L49" s="285"/>
      <c r="M49" s="286" t="s">
        <v>1</v>
      </c>
      <c r="N49" s="287" t="s">
        <v>180</v>
      </c>
      <c r="Q49" s="288"/>
      <c r="T49" s="288"/>
      <c r="Z49" s="284"/>
    </row>
    <row r="50" spans="2:26" ht="14.1" customHeight="1" x14ac:dyDescent="0.25">
      <c r="L50" s="135"/>
      <c r="M50" s="286" t="s">
        <v>181</v>
      </c>
      <c r="N50" s="287" t="s">
        <v>182</v>
      </c>
      <c r="P50" s="78"/>
      <c r="Z50" s="284"/>
    </row>
    <row r="51" spans="2:26" ht="14.1" customHeight="1" x14ac:dyDescent="0.25">
      <c r="B51" s="8"/>
      <c r="L51" s="135"/>
      <c r="M51" s="286" t="s">
        <v>183</v>
      </c>
      <c r="N51" s="287" t="s">
        <v>184</v>
      </c>
    </row>
    <row r="52" spans="2:26" ht="14.1" customHeight="1" x14ac:dyDescent="0.25">
      <c r="B52" s="289"/>
      <c r="L52" s="135"/>
      <c r="M52" s="286" t="s">
        <v>185</v>
      </c>
      <c r="N52" s="287" t="s">
        <v>186</v>
      </c>
      <c r="W52" s="290"/>
    </row>
    <row r="53" spans="2:26" ht="14.1" customHeight="1" x14ac:dyDescent="0.25">
      <c r="L53" s="135"/>
      <c r="M53" s="286" t="s">
        <v>187</v>
      </c>
      <c r="N53" s="291" t="s">
        <v>188</v>
      </c>
    </row>
    <row r="54" spans="2:26" ht="14.1" customHeight="1" x14ac:dyDescent="0.25">
      <c r="L54" s="135"/>
      <c r="M54" s="286" t="s">
        <v>189</v>
      </c>
      <c r="N54" s="287" t="s">
        <v>190</v>
      </c>
    </row>
    <row r="55" spans="2:26" ht="14.1" customHeight="1" x14ac:dyDescent="0.25">
      <c r="L55" s="135"/>
      <c r="M55" s="286" t="s">
        <v>191</v>
      </c>
      <c r="N55" s="287" t="s">
        <v>192</v>
      </c>
    </row>
    <row r="56" spans="2:26" ht="14.1" customHeight="1" x14ac:dyDescent="0.25">
      <c r="L56" s="135"/>
      <c r="M56" s="286" t="s">
        <v>193</v>
      </c>
      <c r="N56" s="287" t="s">
        <v>194</v>
      </c>
    </row>
    <row r="57" spans="2:26" ht="14.1" customHeight="1" x14ac:dyDescent="0.25">
      <c r="L57" s="110"/>
      <c r="M57" s="292"/>
      <c r="N57" s="287" t="s">
        <v>195</v>
      </c>
    </row>
    <row r="58" spans="2:26" ht="14.1" customHeight="1" thickBot="1" x14ac:dyDescent="0.3">
      <c r="P58" s="293" t="s">
        <v>136</v>
      </c>
      <c r="Q58" s="294"/>
      <c r="R58" s="293"/>
      <c r="S58" s="293" t="s">
        <v>136</v>
      </c>
      <c r="T58" s="294"/>
    </row>
    <row r="59" spans="2:26" ht="14.1" customHeight="1" x14ac:dyDescent="0.25">
      <c r="B59" s="8"/>
      <c r="J59" s="295" t="s">
        <v>196</v>
      </c>
      <c r="K59" s="296" t="s">
        <v>197</v>
      </c>
      <c r="L59" s="77"/>
      <c r="M59" s="1">
        <v>6011</v>
      </c>
      <c r="N59" s="287" t="s">
        <v>198</v>
      </c>
      <c r="P59" s="78" t="e">
        <f ca="1">_xll.GXL(1, N$49,"CURRENCY="&amp;N$54&amp;";"&amp;"WEEKLY=FALSE",N$51,N$52,N$53,N$55,J59,$M59,$N59)</f>
        <v>#NAME?</v>
      </c>
      <c r="Q59" s="297" t="e">
        <f ca="1">_xll.GXL(1, N$50,"CURRENCY="&amp;N$54&amp;";"&amp;"WEEKLY=FALSE",N$51,N$52,N$53,N$55,J59,$M59,$N59)</f>
        <v>#NAME?</v>
      </c>
      <c r="R59" s="279">
        <v>-1</v>
      </c>
      <c r="S59" s="78" t="e">
        <f ca="1">_xll.GXL(1, N$49,"CURRENCY="&amp;N$54&amp;";"&amp;"WEEKLY=FALSE",N$51,N$52,N$53,N$55,K59,$M59,$N59)</f>
        <v>#NAME?</v>
      </c>
      <c r="T59" s="297" t="e">
        <f ca="1">_xll.GXL(1, N$50,"CURRENCY="&amp;N$54&amp;";"&amp;"WEEKLY=FALSE",N$51,N$52,N$53,N$55,K59,$M59,$N59)</f>
        <v>#NAME?</v>
      </c>
      <c r="U59" s="298">
        <v>-4</v>
      </c>
    </row>
    <row r="60" spans="2:26" ht="14.1" customHeight="1" x14ac:dyDescent="0.25">
      <c r="J60" s="295" t="s">
        <v>196</v>
      </c>
      <c r="K60" s="296" t="s">
        <v>197</v>
      </c>
      <c r="L60" s="77"/>
      <c r="M60" s="1">
        <v>6011</v>
      </c>
      <c r="N60" s="1">
        <v>28082</v>
      </c>
      <c r="P60" s="78" t="e">
        <f ca="1">_xll.GXL(1, N$49,"CURRENCY="&amp;N$54&amp;";"&amp;"WEEKLY=FALSE",N$51,N$52,N$53,N$55,J60,$M60,$N60)</f>
        <v>#NAME?</v>
      </c>
      <c r="Q60" s="299" t="e">
        <f ca="1">_xll.GXL(1, N$50,"CURRENCY="&amp;N$54&amp;";"&amp;"WEEKLY=FALSE",N$51,N$52,N$53,N$55,N$56,$M60,$N60)</f>
        <v>#NAME?</v>
      </c>
      <c r="R60" s="279">
        <v>-2</v>
      </c>
      <c r="S60" s="297"/>
      <c r="T60" s="299"/>
      <c r="U60" s="298"/>
    </row>
    <row r="61" spans="2:26" ht="15" x14ac:dyDescent="0.25">
      <c r="J61" s="295" t="s">
        <v>196</v>
      </c>
      <c r="K61" s="296" t="s">
        <v>197</v>
      </c>
      <c r="L61" s="77"/>
      <c r="M61" s="1">
        <v>6011</v>
      </c>
      <c r="N61" s="1">
        <v>28120</v>
      </c>
      <c r="P61" s="78" t="e">
        <f ca="1">_xll.GXL(1, N$49,"CURRENCY="&amp;N$54&amp;";"&amp;"WEEKLY=FALSE",N$51,N$52,N$53,N$55,J61,$M61,$N61)</f>
        <v>#NAME?</v>
      </c>
      <c r="Q61" s="297" t="e">
        <f ca="1">_xll.GXL(1, N$50,"CURRENCY="&amp;N$54&amp;";"&amp;"WEEKLY=FALSE",N$51,N$52,N$53,N$55,J61,$M61,$N61)</f>
        <v>#NAME?</v>
      </c>
      <c r="R61" s="279">
        <v>-3</v>
      </c>
      <c r="S61" s="78" t="e">
        <f ca="1">_xll.GXL(1, N$49,"CURRENCY="&amp;N$54&amp;";"&amp;"WEEKLY=FALSE",N$51,N$52,N$53,N$55,K61,$M61,$N61)</f>
        <v>#NAME?</v>
      </c>
      <c r="T61" s="297" t="e">
        <f ca="1">_xll.GXL(1, N$50,"CURRENCY="&amp;N$54&amp;";"&amp;"WEEKLY=FALSE",N$51,N$52,N$53,N$55,K61,$M61,$N61)</f>
        <v>#NAME?</v>
      </c>
      <c r="U61" s="298">
        <v>-5</v>
      </c>
    </row>
    <row r="62" spans="2:26" ht="14.1" customHeight="1" x14ac:dyDescent="0.25">
      <c r="B62" s="6"/>
      <c r="P62" s="78"/>
      <c r="Q62" s="300" t="e">
        <f ca="1">SUM(Q59:Q61)</f>
        <v>#NAME?</v>
      </c>
      <c r="R62" s="146"/>
      <c r="S62" s="146"/>
      <c r="T62" s="300" t="e">
        <f ca="1">SUM(T59:T61)</f>
        <v>#NAME?</v>
      </c>
      <c r="U62" s="77"/>
    </row>
    <row r="63" spans="2:26" ht="14.1" customHeight="1" x14ac:dyDescent="0.25">
      <c r="P63" s="301"/>
      <c r="Q63" s="302"/>
      <c r="R63" s="301"/>
      <c r="S63" s="301"/>
      <c r="T63" s="302"/>
      <c r="U63" s="77"/>
    </row>
    <row r="69" spans="17:22" ht="14.1" customHeight="1" x14ac:dyDescent="0.25">
      <c r="Q69" s="134">
        <v>9776852</v>
      </c>
      <c r="S69" s="134">
        <v>2278617.61</v>
      </c>
      <c r="T69" s="134">
        <v>2102518</v>
      </c>
      <c r="V69" s="8">
        <v>317389.78000000003</v>
      </c>
    </row>
    <row r="71" spans="17:22" ht="14.1" customHeight="1" x14ac:dyDescent="0.25">
      <c r="S71" s="303">
        <f>+S69/Q69</f>
        <v>0.23306250416800825</v>
      </c>
      <c r="V71" s="304">
        <f>+V69/T69</f>
        <v>0.15095698586171438</v>
      </c>
    </row>
  </sheetData>
  <mergeCells count="15">
    <mergeCell ref="B5:E5"/>
    <mergeCell ref="W3:Y3"/>
    <mergeCell ref="AB3:AC3"/>
    <mergeCell ref="J4:K4"/>
    <mergeCell ref="M4:N4"/>
    <mergeCell ref="P4:Q4"/>
    <mergeCell ref="S4:T4"/>
    <mergeCell ref="V4:W4"/>
    <mergeCell ref="Y4:Z4"/>
    <mergeCell ref="W1:Y1"/>
    <mergeCell ref="B2:E2"/>
    <mergeCell ref="G2:H2"/>
    <mergeCell ref="J2:N2"/>
    <mergeCell ref="P2:T2"/>
    <mergeCell ref="W2:Y2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D2519-51F7-472A-9CA0-7EF8102BEAA4}">
  <dimension ref="A1:I28"/>
  <sheetViews>
    <sheetView showGridLines="0" tabSelected="1" view="pageBreakPreview" zoomScaleNormal="100" zoomScaleSheetLayoutView="100" workbookViewId="0">
      <selection activeCell="I84" sqref="I84"/>
    </sheetView>
  </sheetViews>
  <sheetFormatPr defaultRowHeight="12.75" x14ac:dyDescent="0.2"/>
  <cols>
    <col min="1" max="1" width="1.7109375" style="305" customWidth="1"/>
    <col min="2" max="2" width="10" style="305" customWidth="1"/>
    <col min="3" max="3" width="23.7109375" style="305" customWidth="1"/>
    <col min="4" max="4" width="20.42578125" style="305" customWidth="1"/>
    <col min="5" max="5" width="19" style="305" customWidth="1"/>
    <col min="6" max="6" width="16.42578125" style="305" bestFit="1" customWidth="1"/>
    <col min="7" max="7" width="17.7109375" style="305" bestFit="1" customWidth="1"/>
    <col min="8" max="8" width="3.7109375" style="305" customWidth="1"/>
    <col min="9" max="16384" width="9.140625" style="305"/>
  </cols>
  <sheetData>
    <row r="1" spans="1:9" ht="18" customHeight="1" x14ac:dyDescent="0.2">
      <c r="A1" s="306"/>
      <c r="B1" s="354" t="s">
        <v>9</v>
      </c>
      <c r="C1" s="354"/>
      <c r="D1" s="354"/>
      <c r="E1" s="354"/>
      <c r="F1" s="354"/>
      <c r="G1" s="356"/>
      <c r="H1" s="355"/>
      <c r="I1" s="306"/>
    </row>
    <row r="2" spans="1:9" ht="15" x14ac:dyDescent="0.2">
      <c r="A2" s="306"/>
      <c r="B2" s="354" t="s">
        <v>10</v>
      </c>
      <c r="C2" s="353">
        <f>'[1]Core Cost Incurred'!B2</f>
        <v>43794</v>
      </c>
      <c r="D2" s="352"/>
      <c r="E2" s="352"/>
      <c r="F2" s="352"/>
      <c r="G2" s="352"/>
      <c r="H2" s="306"/>
      <c r="I2" s="306"/>
    </row>
    <row r="3" spans="1:9" x14ac:dyDescent="0.2">
      <c r="A3" s="306"/>
      <c r="B3" s="306"/>
      <c r="C3" s="306"/>
      <c r="D3" s="306"/>
      <c r="E3" s="306"/>
      <c r="F3" s="306"/>
      <c r="G3" s="306"/>
      <c r="H3" s="306"/>
      <c r="I3" s="306"/>
    </row>
    <row r="4" spans="1:9" ht="15" customHeight="1" thickBot="1" x14ac:dyDescent="0.25">
      <c r="A4" s="306"/>
      <c r="B4" s="351"/>
      <c r="C4" s="351"/>
      <c r="D4" s="351"/>
      <c r="E4" s="351"/>
      <c r="F4" s="350"/>
      <c r="G4" s="349"/>
      <c r="H4" s="306"/>
      <c r="I4" s="306"/>
    </row>
    <row r="5" spans="1:9" ht="14.25" x14ac:dyDescent="0.2">
      <c r="A5" s="306"/>
      <c r="B5" s="107"/>
      <c r="C5" s="107"/>
      <c r="D5" s="347" t="s">
        <v>3</v>
      </c>
      <c r="E5" s="347" t="s">
        <v>6</v>
      </c>
      <c r="F5" s="348" t="s">
        <v>11</v>
      </c>
      <c r="G5" s="347" t="s">
        <v>12</v>
      </c>
      <c r="H5" s="306"/>
      <c r="I5" s="306"/>
    </row>
    <row r="6" spans="1:9" ht="15" x14ac:dyDescent="0.25">
      <c r="A6" s="306"/>
      <c r="B6" s="332" t="s">
        <v>13</v>
      </c>
      <c r="C6" s="346"/>
      <c r="D6" s="344">
        <v>692010</v>
      </c>
      <c r="E6" s="344">
        <v>691010</v>
      </c>
      <c r="F6" s="345">
        <v>693010</v>
      </c>
      <c r="G6" s="344"/>
      <c r="H6" s="109"/>
      <c r="I6" s="306"/>
    </row>
    <row r="7" spans="1:9" ht="16.5" customHeight="1" x14ac:dyDescent="0.2">
      <c r="A7" s="306"/>
      <c r="B7" s="336" t="s">
        <v>14</v>
      </c>
      <c r="C7" s="317"/>
      <c r="D7" s="343">
        <v>7879754.4199999981</v>
      </c>
      <c r="E7" s="343">
        <v>5569748.2100000009</v>
      </c>
      <c r="F7" s="342">
        <v>2377794.4300000002</v>
      </c>
      <c r="G7" s="341">
        <v>15827297.060000001</v>
      </c>
      <c r="H7" s="306"/>
      <c r="I7" s="306"/>
    </row>
    <row r="8" spans="1:9" ht="16.5" customHeight="1" x14ac:dyDescent="0.2">
      <c r="A8" s="306"/>
      <c r="B8" s="336" t="s">
        <v>16</v>
      </c>
      <c r="C8" s="317"/>
      <c r="D8" s="340">
        <f>'[1]Core Cost Incurred'!K42</f>
        <v>10399163.649999999</v>
      </c>
      <c r="E8" s="340">
        <f>'[1]Core Cost Incurred'!K43</f>
        <v>3827726.9899999993</v>
      </c>
      <c r="F8" s="339">
        <v>0</v>
      </c>
      <c r="G8" s="338">
        <f>SUM(D8:E8)</f>
        <v>14226890.639999997</v>
      </c>
      <c r="H8" s="306"/>
      <c r="I8" s="306"/>
    </row>
    <row r="9" spans="1:9" ht="16.5" customHeight="1" x14ac:dyDescent="0.2">
      <c r="A9" s="306"/>
      <c r="B9" s="336" t="s">
        <v>17</v>
      </c>
      <c r="C9" s="317"/>
      <c r="D9" s="329">
        <f>D7-D8</f>
        <v>-2519409.2300000004</v>
      </c>
      <c r="E9" s="337">
        <f>E7-E8</f>
        <v>1742021.2200000016</v>
      </c>
      <c r="F9" s="337">
        <f>F7-F8</f>
        <v>2377794.4300000002</v>
      </c>
      <c r="G9" s="329">
        <f>G7-G8</f>
        <v>1600406.4200000037</v>
      </c>
      <c r="H9" s="306"/>
      <c r="I9" s="306"/>
    </row>
    <row r="10" spans="1:9" ht="16.5" customHeight="1" x14ac:dyDescent="0.2">
      <c r="A10" s="306"/>
      <c r="B10" s="336" t="s">
        <v>18</v>
      </c>
      <c r="C10" s="317"/>
      <c r="D10" s="333">
        <v>99080.960000000006</v>
      </c>
      <c r="E10" s="335"/>
      <c r="F10" s="334"/>
      <c r="G10" s="333">
        <v>99080.960000000006</v>
      </c>
      <c r="H10" s="306"/>
      <c r="I10" s="306"/>
    </row>
    <row r="11" spans="1:9" ht="16.5" customHeight="1" x14ac:dyDescent="0.2">
      <c r="A11" s="306"/>
      <c r="B11" s="332" t="s">
        <v>19</v>
      </c>
      <c r="C11" s="331"/>
      <c r="D11" s="329"/>
      <c r="E11" s="329">
        <v>352350.7</v>
      </c>
      <c r="F11" s="330"/>
      <c r="G11" s="329">
        <f>E11</f>
        <v>352350.7</v>
      </c>
      <c r="H11" s="306"/>
      <c r="I11" s="306"/>
    </row>
    <row r="12" spans="1:9" ht="16.5" customHeight="1" x14ac:dyDescent="0.25">
      <c r="A12" s="306"/>
      <c r="B12" s="328" t="s">
        <v>20</v>
      </c>
      <c r="C12" s="327"/>
      <c r="D12" s="325">
        <f>+D7-D8+D10</f>
        <v>-2420328.2700000005</v>
      </c>
      <c r="E12" s="325">
        <f>+E9+E11</f>
        <v>2094371.9200000016</v>
      </c>
      <c r="F12" s="326">
        <f>+F7-F8</f>
        <v>2377794.4300000002</v>
      </c>
      <c r="G12" s="325">
        <f>G9+G11+G10</f>
        <v>2051838.0800000036</v>
      </c>
      <c r="H12" s="306"/>
      <c r="I12" s="306"/>
    </row>
    <row r="13" spans="1:9" ht="14.25" customHeight="1" x14ac:dyDescent="0.2">
      <c r="A13" s="306"/>
      <c r="B13" s="306"/>
      <c r="C13" s="306"/>
      <c r="D13" s="317"/>
      <c r="E13" s="317"/>
      <c r="F13" s="323"/>
      <c r="G13" s="317"/>
      <c r="H13" s="306"/>
      <c r="I13" s="306"/>
    </row>
    <row r="14" spans="1:9" ht="14.25" customHeight="1" x14ac:dyDescent="0.2">
      <c r="A14" s="306"/>
      <c r="B14" s="306"/>
      <c r="C14" s="306"/>
      <c r="D14" s="317" t="s">
        <v>21</v>
      </c>
      <c r="E14" s="317"/>
      <c r="F14" s="323"/>
      <c r="G14" s="317"/>
      <c r="H14" s="306"/>
      <c r="I14" s="306"/>
    </row>
    <row r="15" spans="1:9" ht="14.25" customHeight="1" x14ac:dyDescent="0.2">
      <c r="A15" s="306"/>
      <c r="B15" s="306"/>
      <c r="C15" s="306"/>
      <c r="D15" s="317"/>
      <c r="E15" s="324"/>
      <c r="F15" s="323"/>
      <c r="G15" s="317"/>
      <c r="H15" s="306"/>
      <c r="I15" s="306"/>
    </row>
    <row r="16" spans="1:9" ht="14.25" customHeight="1" x14ac:dyDescent="0.2">
      <c r="A16" s="306"/>
      <c r="B16" s="314" t="s">
        <v>22</v>
      </c>
      <c r="C16" s="314"/>
      <c r="D16" s="322" t="s">
        <v>4</v>
      </c>
      <c r="E16" s="321" t="s">
        <v>4</v>
      </c>
      <c r="F16" s="320"/>
      <c r="G16" s="310"/>
      <c r="H16" s="306"/>
      <c r="I16" s="306"/>
    </row>
    <row r="17" spans="1:9" ht="14.25" customHeight="1" x14ac:dyDescent="0.2">
      <c r="A17" s="306"/>
      <c r="B17" s="109"/>
      <c r="C17" s="109"/>
      <c r="D17" s="319"/>
      <c r="E17" s="319"/>
      <c r="F17" s="318"/>
      <c r="G17" s="317"/>
      <c r="H17" s="306"/>
      <c r="I17" s="306"/>
    </row>
    <row r="18" spans="1:9" ht="14.25" customHeight="1" x14ac:dyDescent="0.2">
      <c r="A18" s="306"/>
      <c r="B18" s="109"/>
      <c r="C18" s="109"/>
      <c r="D18" s="315">
        <f>-D12</f>
        <v>2420328.2700000005</v>
      </c>
      <c r="E18" s="315">
        <f>-E9-E11</f>
        <v>-2094371.9200000016</v>
      </c>
      <c r="F18" s="316">
        <f>-F12</f>
        <v>-2377794.4300000002</v>
      </c>
      <c r="G18" s="315">
        <f>SUM(D18:F18)</f>
        <v>-2051838.0800000012</v>
      </c>
      <c r="H18" s="306"/>
      <c r="I18" s="306"/>
    </row>
    <row r="19" spans="1:9" ht="14.25" customHeight="1" thickBot="1" x14ac:dyDescent="0.25">
      <c r="A19" s="306"/>
      <c r="B19" s="314" t="s">
        <v>23</v>
      </c>
      <c r="C19" s="314"/>
      <c r="D19" s="313" t="s">
        <v>5</v>
      </c>
      <c r="E19" s="312" t="s">
        <v>7</v>
      </c>
      <c r="F19" s="311"/>
      <c r="G19" s="310"/>
      <c r="H19" s="306"/>
      <c r="I19" s="306"/>
    </row>
    <row r="20" spans="1:9" x14ac:dyDescent="0.2">
      <c r="A20" s="306"/>
      <c r="B20" s="109"/>
      <c r="C20" s="109"/>
      <c r="D20" s="306"/>
      <c r="E20" s="108"/>
      <c r="F20" s="108"/>
      <c r="G20" s="108"/>
      <c r="H20" s="306"/>
      <c r="I20" s="306"/>
    </row>
    <row r="21" spans="1:9" x14ac:dyDescent="0.2">
      <c r="A21" s="306"/>
      <c r="B21" s="306"/>
      <c r="C21" s="306"/>
      <c r="D21" s="109"/>
      <c r="E21" s="309"/>
      <c r="F21" s="308"/>
      <c r="G21" s="306"/>
      <c r="H21" s="306"/>
      <c r="I21" s="306"/>
    </row>
    <row r="22" spans="1:9" x14ac:dyDescent="0.2">
      <c r="A22" s="306"/>
      <c r="B22" s="306"/>
      <c r="C22" s="306"/>
      <c r="D22" s="306"/>
      <c r="E22" s="309"/>
      <c r="F22" s="308"/>
      <c r="G22" s="306"/>
      <c r="H22" s="306"/>
      <c r="I22" s="306"/>
    </row>
    <row r="23" spans="1:9" x14ac:dyDescent="0.2">
      <c r="A23" s="306"/>
      <c r="B23" s="306"/>
      <c r="C23" s="306"/>
      <c r="D23" s="306"/>
      <c r="E23" s="309"/>
      <c r="F23" s="308"/>
      <c r="G23" s="306"/>
      <c r="H23" s="306"/>
      <c r="I23" s="306"/>
    </row>
    <row r="24" spans="1:9" x14ac:dyDescent="0.2">
      <c r="A24" s="306"/>
      <c r="B24" s="306"/>
      <c r="C24" s="306"/>
      <c r="D24" s="306"/>
      <c r="E24" s="306"/>
      <c r="F24" s="308"/>
      <c r="G24" s="306"/>
      <c r="H24" s="306"/>
      <c r="I24" s="306"/>
    </row>
    <row r="25" spans="1:9" x14ac:dyDescent="0.2">
      <c r="A25" s="306"/>
      <c r="B25" s="306"/>
      <c r="C25" s="306"/>
      <c r="D25" s="306"/>
      <c r="E25" s="306"/>
      <c r="F25" s="306"/>
      <c r="G25" s="306"/>
      <c r="H25" s="306"/>
      <c r="I25" s="306"/>
    </row>
    <row r="26" spans="1:9" x14ac:dyDescent="0.2">
      <c r="A26" s="306"/>
      <c r="B26" s="306"/>
      <c r="C26" s="306"/>
      <c r="D26" s="306"/>
      <c r="E26" s="306"/>
      <c r="F26" s="306"/>
      <c r="G26" s="306"/>
      <c r="H26" s="306"/>
      <c r="I26" s="306"/>
    </row>
    <row r="27" spans="1:9" x14ac:dyDescent="0.2">
      <c r="A27" s="306"/>
      <c r="B27" s="307"/>
      <c r="C27" s="307"/>
      <c r="D27" s="306"/>
      <c r="E27" s="306"/>
      <c r="F27" s="306"/>
      <c r="G27" s="306"/>
      <c r="H27" s="306"/>
      <c r="I27" s="306"/>
    </row>
    <row r="28" spans="1:9" x14ac:dyDescent="0.2">
      <c r="A28" s="306"/>
      <c r="B28" s="306"/>
      <c r="C28" s="306"/>
      <c r="D28" s="306"/>
      <c r="E28" s="306"/>
      <c r="F28" s="306"/>
      <c r="G28" s="306"/>
      <c r="H28" s="306"/>
      <c r="I28" s="306"/>
    </row>
  </sheetData>
  <mergeCells count="1">
    <mergeCell ref="B4:E4"/>
  </mergeCells>
  <pageMargins left="0.75" right="0.75" top="0.7" bottom="1" header="0.7" footer="0.5"/>
  <pageSetup scale="75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80A18EE4CFF64D8EDA247CCB0BC2F7" ma:contentTypeVersion="56" ma:contentTypeDescription="" ma:contentTypeScope="" ma:versionID="9f51b59ab61d4981ca4e6f938046e6f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2019-09-13T07:00:00+00:00</OpenedDate>
    <SignificantOrder xmlns="dc463f71-b30c-4ab2-9473-d307f9d35888">false</SignificantOrder>
    <Date1 xmlns="dc463f71-b30c-4ab2-9473-d307f9d35888">2019-12-30T08:00:00+00:00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190773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8139C32-9FC7-4385-A417-21E577C46E76}"/>
</file>

<file path=customXml/itemProps2.xml><?xml version="1.0" encoding="utf-8"?>
<ds:datastoreItem xmlns:ds="http://schemas.openxmlformats.org/officeDocument/2006/customXml" ds:itemID="{1BE2D3D2-9F3D-4141-A544-7EC191FCFC0D}"/>
</file>

<file path=customXml/itemProps3.xml><?xml version="1.0" encoding="utf-8"?>
<ds:datastoreItem xmlns:ds="http://schemas.openxmlformats.org/officeDocument/2006/customXml" ds:itemID="{5B3F6743-8D66-4495-B2D2-60E3B3447AD2}"/>
</file>

<file path=customXml/itemProps4.xml><?xml version="1.0" encoding="utf-8"?>
<ds:datastoreItem xmlns:ds="http://schemas.openxmlformats.org/officeDocument/2006/customXml" ds:itemID="{77643887-E804-4B96-9AE8-10F7AED7DC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2019-12-30T17:29:31Z</dcterms:created>
  <dcterms:modified xsi:type="dcterms:W3CDTF">2019-12-30T17:31:07Z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0x0101006E56B4D1795A2E4DB2F0B01679ED314A00C780A18EE4CFF64D8EDA247CCB0BC2F7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