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externalLinks/externalLink6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0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95" yWindow="120" windowWidth="13380" windowHeight="7410" activeTab="2"/>
  </bookViews>
  <sheets>
    <sheet name="Notes" sheetId="8" r:id="rId1"/>
    <sheet name="References" sheetId="4" r:id="rId2"/>
    <sheet name="Staff calcs " sheetId="7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</externalReferences>
  <definedNames>
    <definedName name="__CYA1">[1]Hidden!$N$11</definedName>
    <definedName name="__CYA10">[1]Hidden!$E$11</definedName>
    <definedName name="__CYA11">[1]Hidden!$P$11</definedName>
    <definedName name="__CYA2">[1]Hidden!$M$11</definedName>
    <definedName name="__CYA3">[1]Hidden!$L$11</definedName>
    <definedName name="__CYA4">[1]Hidden!$K$11</definedName>
    <definedName name="__CYA5">[1]Hidden!$J$11</definedName>
    <definedName name="__CYA6">[1]Hidden!$I$11</definedName>
    <definedName name="__CYA7">[1]Hidden!$H$11</definedName>
    <definedName name="__CYA8">[1]Hidden!$G$11</definedName>
    <definedName name="__CYA9">[1]Hidden!$F$11</definedName>
    <definedName name="__LYA12">[1]Hidden!$O$11</definedName>
    <definedName name="_ACT1">[2]Hidden!#REF!</definedName>
    <definedName name="_ACT2">[2]Hidden!#REF!</definedName>
    <definedName name="_ACT3">[2]Hidden!#REF!</definedName>
    <definedName name="_CYA1">[1]Hidden!$N$11</definedName>
    <definedName name="_CYA10">[1]Hidden!$E$11</definedName>
    <definedName name="_CYA11">[1]Hidden!$P$11</definedName>
    <definedName name="_CYA2">[1]Hidden!$M$11</definedName>
    <definedName name="_CYA3">[1]Hidden!$L$11</definedName>
    <definedName name="_CYA4">[1]Hidden!$K$11</definedName>
    <definedName name="_CYA5">[1]Hidden!$J$11</definedName>
    <definedName name="_CYA6">[1]Hidden!$I$11</definedName>
    <definedName name="_CYA7">[1]Hidden!$H$11</definedName>
    <definedName name="_CYA8">[1]Hidden!$G$11</definedName>
    <definedName name="_CYA9">[1]Hidden!$F$11</definedName>
    <definedName name="_LYA12">[1]Hidden!$O$11</definedName>
    <definedName name="a">#REF!</definedName>
    <definedName name="ACCT">[2]Hidden!#REF!</definedName>
    <definedName name="ACCT.ConsolSum">[1]Hidden!$Q$11</definedName>
    <definedName name="ACT_CUR">[2]Hidden!#REF!</definedName>
    <definedName name="ACT_YTD">[2]Hidden!#REF!</definedName>
    <definedName name="AmountCount">#REF!</definedName>
    <definedName name="AmountTotal">#REF!</definedName>
    <definedName name="BookRev">'[3]Pacific Regulated - Price Out'!$F$50</definedName>
    <definedName name="BookRev_com">'[3]Pacific Regulated - Price Out'!$F$214</definedName>
    <definedName name="BookRev_mfr">'[3]Pacific Regulated - Price Out'!$F$222</definedName>
    <definedName name="BookRev_ro">'[3]Pacific Regulated - Price Out'!$F$282</definedName>
    <definedName name="BookRev_rr">'[3]Pacific Regulated - Price Out'!$F$59</definedName>
    <definedName name="BookRev_yw">'[3]Pacific Regulated - Price Out'!$F$70</definedName>
    <definedName name="BREMAIR_COST_of_SERVICE_STUDY">#REF!</definedName>
    <definedName name="BUD_CUR">[2]Hidden!#REF!</definedName>
    <definedName name="BUD_YTD">[2]Hidden!#REF!</definedName>
    <definedName name="CheckTotals">#REF!</definedName>
    <definedName name="colgroup">[1]Orientation!$G$6</definedName>
    <definedName name="colsegment">[1]Orientation!$F$6</definedName>
    <definedName name="CRCTable">#REF!</definedName>
    <definedName name="CRCTableOLD">#REF!</definedName>
    <definedName name="CriteriaType">[4]ControlPanel!$Z$2:$Z$5</definedName>
    <definedName name="Cutomers">#REF!</definedName>
    <definedName name="_xlnm.Database">#REF!</definedName>
    <definedName name="Database1">#REF!</definedName>
    <definedName name="DEPT">[2]Hidden!#REF!</definedName>
    <definedName name="District">'[5]Vashon BS'!#REF!</definedName>
    <definedName name="DistrictNum">#REF!</definedName>
    <definedName name="drlFilter">[1]Settings!$D$27</definedName>
    <definedName name="End">#REF!</definedName>
    <definedName name="ExcludeIC">'[5]Vashon BS'!#REF!</definedName>
    <definedName name="FBTable">#REF!</definedName>
    <definedName name="FBTableOld">#REF!</definedName>
    <definedName name="filter">[1]Settings!$B$14:$H$25</definedName>
    <definedName name="GLMappingStart">#REF!</definedName>
    <definedName name="IncomeStmnt">#REF!</definedName>
    <definedName name="INPUT">#REF!</definedName>
    <definedName name="Insurance">#REF!</definedName>
    <definedName name="JEDetail">#REF!</definedName>
    <definedName name="JEType">#REF!</definedName>
    <definedName name="lblBillAreaStatus">#REF!</definedName>
    <definedName name="lblBillCycleStatus">#REF!</definedName>
    <definedName name="lblCategoryStatus">#REF!</definedName>
    <definedName name="lblCompanyStatus">#REF!</definedName>
    <definedName name="lblDatabaseStatus">#REF!</definedName>
    <definedName name="lblPullStatus">#REF!</definedName>
    <definedName name="lllllllllllllllllllll">#REF!</definedName>
    <definedName name="MainDataEnd">#REF!</definedName>
    <definedName name="MainDataStart">#REF!</definedName>
    <definedName name="MapKeyStart">#REF!</definedName>
    <definedName name="master_def">#REF!</definedName>
    <definedName name="MemoAttachment">#REF!</definedName>
    <definedName name="MetaSet">[1]Orientation!$C$22</definedName>
    <definedName name="NewOnlyOrg">#N/A</definedName>
    <definedName name="NOTES">#REF!</definedName>
    <definedName name="NR">#REF!</definedName>
    <definedName name="OfficerSalary">#N/A</definedName>
    <definedName name="OffsetAcctBil">[6]JEexport!$L$10</definedName>
    <definedName name="OffsetAcctPmt">[6]JEexport!$L$9</definedName>
    <definedName name="Org11_13">#N/A</definedName>
    <definedName name="Org7_10">#N/A</definedName>
    <definedName name="p">#REF!</definedName>
    <definedName name="PAGE_1">#REF!</definedName>
    <definedName name="pBatchID">#REF!</definedName>
    <definedName name="pBillArea">#REF!</definedName>
    <definedName name="pBillCycle">#REF!</definedName>
    <definedName name="pCategory">#REF!</definedName>
    <definedName name="pCompany">#REF!</definedName>
    <definedName name="pCustomerNumber">#REF!</definedName>
    <definedName name="pDatabase">#REF!</definedName>
    <definedName name="pEndPostDate">#REF!</definedName>
    <definedName name="Period">#REF!</definedName>
    <definedName name="pMonth">#REF!</definedName>
    <definedName name="pOnlyShowLastTranx">#REF!</definedName>
    <definedName name="primtbl">[1]Orientation!$C$23</definedName>
    <definedName name="_xlnm.Print_Area">#REF!</definedName>
    <definedName name="Print_Area_MI">#REF!</definedName>
    <definedName name="Print_Area1">#REF!</definedName>
    <definedName name="Print_Area2">#REF!</definedName>
    <definedName name="Print_Area3">#REF!</definedName>
    <definedName name="Print_Area5">#REF!</definedName>
    <definedName name="Print1">#REF!</definedName>
    <definedName name="Print2">#REF!</definedName>
    <definedName name="Print5">#REF!</definedName>
    <definedName name="ProRev">'[3]Pacific Regulated - Price Out'!$M$49</definedName>
    <definedName name="ProRev_com">'[3]Pacific Regulated - Price Out'!$M$213</definedName>
    <definedName name="ProRev_mfr">'[3]Pacific Regulated - Price Out'!$M$221</definedName>
    <definedName name="ProRev_ro">'[3]Pacific Regulated - Price Out'!$M$281</definedName>
    <definedName name="ProRev_rr">'[3]Pacific Regulated - Price Out'!$M$58</definedName>
    <definedName name="ProRev_yw">'[3]Pacific Regulated - Price Out'!$M$69</definedName>
    <definedName name="pServer">#REF!</definedName>
    <definedName name="pServiceCode">#REF!</definedName>
    <definedName name="pShowAllUnposted">#REF!</definedName>
    <definedName name="pShowCustomerDetail">#REF!</definedName>
    <definedName name="pSortOption">#REF!</definedName>
    <definedName name="pStartPostDate">#REF!</definedName>
    <definedName name="pTransType">#REF!</definedName>
    <definedName name="RCW_81.04.080">#N/A</definedName>
    <definedName name="RecyDisposal">#N/A</definedName>
    <definedName name="RelatedSalary">#N/A</definedName>
    <definedName name="report_type">[1]Orientation!$C$24</definedName>
    <definedName name="ReportNames">[4]ControlPanel!$X$2:$X$8</definedName>
    <definedName name="ReportVersion">[1]Settings!$D$5</definedName>
    <definedName name="RetainedEarnings">#REF!</definedName>
    <definedName name="RevCust">[7]RevenuesCust!#REF!</definedName>
    <definedName name="rngCreateLog">[1]Delivery!$B$12</definedName>
    <definedName name="rngFilePassword">[1]Delivery!$B$6</definedName>
    <definedName name="rngSourceTab">[1]Delivery!$E$8</definedName>
    <definedName name="rowgroup">[1]Orientation!$C$17</definedName>
    <definedName name="rowsegment">[1]Orientation!$B$17</definedName>
    <definedName name="Sequential_Group">[1]Settings!$J$6</definedName>
    <definedName name="Sequential_Segment">[1]Settings!$I$6</definedName>
    <definedName name="Sequential_sort">[1]Settings!$I$10:$J$11</definedName>
    <definedName name="sortcol">#REF!</definedName>
    <definedName name="sSRCDate">'[8]Feb''12 FAR Data'!#REF!</definedName>
    <definedName name="Supplemental_filter">[1]Settings!$C$31</definedName>
    <definedName name="SWDisposal">#N/A</definedName>
    <definedName name="System">[9]BS_Close!$V$8</definedName>
    <definedName name="TemplateEnd">#REF!</definedName>
    <definedName name="TemplateStart">#REF!</definedName>
    <definedName name="TheTable">#REF!</definedName>
    <definedName name="TheTableOLD">#REF!</definedName>
    <definedName name="timeseries">[1]Orientation!$B$6:$C$13</definedName>
    <definedName name="Transactions">#REF!</definedName>
    <definedName name="WTable">#REF!</definedName>
    <definedName name="WTableOld">#REF!</definedName>
    <definedName name="ww">#REF!</definedName>
    <definedName name="xperiod">[1]Orientation!$G$15</definedName>
    <definedName name="xtabin">[2]Hidden!#REF!</definedName>
    <definedName name="xx">#REF!</definedName>
    <definedName name="xxx">#REF!</definedName>
    <definedName name="xxxx">#REF!</definedName>
    <definedName name="YearMonth">'[5]Vashon BS'!#REF!</definedName>
    <definedName name="YWMedWasteDisp">#N/A</definedName>
  </definedNames>
  <calcPr calcId="125725"/>
</workbook>
</file>

<file path=xl/calcChain.xml><?xml version="1.0" encoding="utf-8"?>
<calcChain xmlns="http://schemas.openxmlformats.org/spreadsheetml/2006/main">
  <c r="G48" i="7"/>
  <c r="H40"/>
  <c r="I40"/>
  <c r="N24"/>
  <c r="P24"/>
  <c r="Q24"/>
  <c r="R24"/>
  <c r="S24"/>
  <c r="N52"/>
  <c r="P52"/>
  <c r="N31"/>
  <c r="P31"/>
  <c r="N39"/>
  <c r="P39"/>
  <c r="V35"/>
  <c r="W35" s="1"/>
  <c r="V28"/>
  <c r="W28" s="1"/>
  <c r="N17"/>
  <c r="E14"/>
  <c r="N40" l="1"/>
  <c r="E17"/>
  <c r="E40" s="1"/>
  <c r="F44" l="1"/>
  <c r="G39" l="1"/>
  <c r="I20"/>
  <c r="I48"/>
  <c r="E43" l="1"/>
  <c r="E44" s="1"/>
  <c r="I33" l="1"/>
  <c r="O35"/>
  <c r="T35" s="1"/>
  <c r="Q35"/>
  <c r="R35"/>
  <c r="Q37"/>
  <c r="R37"/>
  <c r="Q38"/>
  <c r="R38"/>
  <c r="Q18"/>
  <c r="R18"/>
  <c r="Q23"/>
  <c r="R23"/>
  <c r="S23" s="1"/>
  <c r="Q20"/>
  <c r="R20"/>
  <c r="G27"/>
  <c r="H39"/>
  <c r="H31"/>
  <c r="I30"/>
  <c r="I29"/>
  <c r="I50"/>
  <c r="G49"/>
  <c r="R27" l="1"/>
  <c r="R31" s="1"/>
  <c r="G31"/>
  <c r="I27"/>
  <c r="Q49"/>
  <c r="I49"/>
  <c r="S20"/>
  <c r="S18"/>
  <c r="I31"/>
  <c r="S35"/>
  <c r="U35"/>
  <c r="S38"/>
  <c r="S37"/>
  <c r="Q27"/>
  <c r="Q31" s="1"/>
  <c r="R49"/>
  <c r="S49" l="1"/>
  <c r="S27"/>
  <c r="S31" s="1"/>
  <c r="Q33"/>
  <c r="R33"/>
  <c r="F23"/>
  <c r="F22"/>
  <c r="F21"/>
  <c r="F18"/>
  <c r="F16"/>
  <c r="F15"/>
  <c r="F13"/>
  <c r="F12"/>
  <c r="F11"/>
  <c r="F10"/>
  <c r="F9"/>
  <c r="F8"/>
  <c r="F7"/>
  <c r="F6"/>
  <c r="S33" l="1"/>
  <c r="I19" l="1"/>
  <c r="Q19"/>
  <c r="R19"/>
  <c r="G21"/>
  <c r="I21" s="1"/>
  <c r="G22"/>
  <c r="I22" s="1"/>
  <c r="G7"/>
  <c r="I7" s="1"/>
  <c r="Q7"/>
  <c r="G8"/>
  <c r="I8" s="1"/>
  <c r="Q8"/>
  <c r="G9"/>
  <c r="I9" s="1"/>
  <c r="Q9"/>
  <c r="G10"/>
  <c r="I10" s="1"/>
  <c r="Q10"/>
  <c r="G11"/>
  <c r="I11" s="1"/>
  <c r="Q11"/>
  <c r="G12"/>
  <c r="I12" s="1"/>
  <c r="Q12"/>
  <c r="G13"/>
  <c r="I13" s="1"/>
  <c r="Q13"/>
  <c r="G14"/>
  <c r="Q14"/>
  <c r="G15"/>
  <c r="I15" s="1"/>
  <c r="Q15"/>
  <c r="D3"/>
  <c r="D1"/>
  <c r="S19" l="1"/>
  <c r="B17" i="4"/>
  <c r="D6" l="1"/>
  <c r="G6" s="1"/>
  <c r="E6" l="1"/>
  <c r="F6"/>
  <c r="Q34" i="7" l="1"/>
  <c r="Q39" s="1"/>
  <c r="Q48"/>
  <c r="Q52" s="1"/>
  <c r="E24"/>
  <c r="Q6"/>
  <c r="Q17" s="1"/>
  <c r="Q16"/>
  <c r="Q40" l="1"/>
  <c r="G52"/>
  <c r="I38"/>
  <c r="I51"/>
  <c r="I52" s="1"/>
  <c r="R48"/>
  <c r="R52" s="1"/>
  <c r="I26"/>
  <c r="R34"/>
  <c r="R39" s="1"/>
  <c r="I37"/>
  <c r="R26"/>
  <c r="I34"/>
  <c r="Q26"/>
  <c r="S34" l="1"/>
  <c r="S39" s="1"/>
  <c r="I39"/>
  <c r="S48"/>
  <c r="S52" s="1"/>
  <c r="S26"/>
  <c r="F15" i="4" l="1"/>
  <c r="F16"/>
  <c r="B20"/>
  <c r="C16"/>
  <c r="C15"/>
  <c r="D9"/>
  <c r="D8"/>
  <c r="D7"/>
  <c r="F17" l="1"/>
  <c r="F18" s="1"/>
  <c r="B21"/>
  <c r="B23" s="1"/>
  <c r="G8"/>
  <c r="F8"/>
  <c r="E8"/>
  <c r="G23" i="7"/>
  <c r="I23" s="1"/>
  <c r="G7" i="4"/>
  <c r="F7"/>
  <c r="E7"/>
  <c r="G18" i="7"/>
  <c r="G6"/>
  <c r="G16"/>
  <c r="G9" i="4"/>
  <c r="F9"/>
  <c r="E9"/>
  <c r="C17"/>
  <c r="G17" i="7" l="1"/>
  <c r="G40" s="1"/>
  <c r="I6"/>
  <c r="I18"/>
  <c r="I24" s="1"/>
  <c r="G24"/>
  <c r="I16"/>
  <c r="E45" l="1"/>
  <c r="I17"/>
  <c r="E46" l="1"/>
  <c r="V14" s="1"/>
  <c r="J13" l="1"/>
  <c r="J34"/>
  <c r="J20"/>
  <c r="J26"/>
  <c r="K26" s="1"/>
  <c r="L26" s="1"/>
  <c r="M26" s="1"/>
  <c r="O26" s="1"/>
  <c r="T26" s="1"/>
  <c r="U26" s="1"/>
  <c r="J9"/>
  <c r="J36"/>
  <c r="J8"/>
  <c r="J23"/>
  <c r="J50"/>
  <c r="J49"/>
  <c r="J37"/>
  <c r="J18"/>
  <c r="V18" s="1"/>
  <c r="J11"/>
  <c r="J27"/>
  <c r="J30"/>
  <c r="J10"/>
  <c r="J51"/>
  <c r="J29"/>
  <c r="J16"/>
  <c r="J6"/>
  <c r="J14"/>
  <c r="J19"/>
  <c r="J48"/>
  <c r="V48" s="1"/>
  <c r="W48" s="1"/>
  <c r="J33"/>
  <c r="V33" s="1"/>
  <c r="J38"/>
  <c r="J22"/>
  <c r="J12"/>
  <c r="J7"/>
  <c r="J15"/>
  <c r="J21"/>
  <c r="U19"/>
  <c r="W18" l="1"/>
  <c r="K33"/>
  <c r="K7"/>
  <c r="L7" s="1"/>
  <c r="M7" s="1"/>
  <c r="O7" s="1"/>
  <c r="T7" s="1"/>
  <c r="U7" s="1"/>
  <c r="V7"/>
  <c r="W7" s="1"/>
  <c r="K10"/>
  <c r="L10" s="1"/>
  <c r="M10" s="1"/>
  <c r="O10" s="1"/>
  <c r="U10" s="1"/>
  <c r="V10"/>
  <c r="W10" s="1"/>
  <c r="K12"/>
  <c r="L12" s="1"/>
  <c r="M12" s="1"/>
  <c r="O12" s="1"/>
  <c r="T12" s="1"/>
  <c r="U12" s="1"/>
  <c r="V12"/>
  <c r="W12" s="1"/>
  <c r="K16"/>
  <c r="L16" s="1"/>
  <c r="V16"/>
  <c r="W16" s="1"/>
  <c r="K19"/>
  <c r="L19" s="1"/>
  <c r="M19" s="1"/>
  <c r="V19"/>
  <c r="W19" s="1"/>
  <c r="L33"/>
  <c r="W33"/>
  <c r="K6"/>
  <c r="V6"/>
  <c r="K23"/>
  <c r="L23" s="1"/>
  <c r="M23" s="1"/>
  <c r="O23" s="1"/>
  <c r="T23" s="1"/>
  <c r="U23" s="1"/>
  <c r="V23"/>
  <c r="W23" s="1"/>
  <c r="K18"/>
  <c r="K30"/>
  <c r="L30" s="1"/>
  <c r="V30"/>
  <c r="W30" s="1"/>
  <c r="K37"/>
  <c r="L37" s="1"/>
  <c r="M37" s="1"/>
  <c r="O37" s="1"/>
  <c r="T37" s="1"/>
  <c r="U37" s="1"/>
  <c r="V37"/>
  <c r="W37" s="1"/>
  <c r="K8"/>
  <c r="L8" s="1"/>
  <c r="M8" s="1"/>
  <c r="O8" s="1"/>
  <c r="U8" s="1"/>
  <c r="V8"/>
  <c r="W8" s="1"/>
  <c r="K20"/>
  <c r="L20" s="1"/>
  <c r="M20" s="1"/>
  <c r="O20" s="1"/>
  <c r="T20" s="1"/>
  <c r="U20" s="1"/>
  <c r="U24" s="1"/>
  <c r="V20"/>
  <c r="W20" s="1"/>
  <c r="K21"/>
  <c r="L21" s="1"/>
  <c r="V21"/>
  <c r="W21" s="1"/>
  <c r="K22"/>
  <c r="L22" s="1"/>
  <c r="V22"/>
  <c r="W22" s="1"/>
  <c r="K29"/>
  <c r="L29" s="1"/>
  <c r="V29"/>
  <c r="W29" s="1"/>
  <c r="K27"/>
  <c r="V27"/>
  <c r="K36"/>
  <c r="L36" s="1"/>
  <c r="V36"/>
  <c r="W36" s="1"/>
  <c r="K34"/>
  <c r="L34" s="1"/>
  <c r="M34" s="1"/>
  <c r="O34" s="1"/>
  <c r="T34" s="1"/>
  <c r="U34" s="1"/>
  <c r="V34"/>
  <c r="W34" s="1"/>
  <c r="K15"/>
  <c r="L15" s="1"/>
  <c r="M15" s="1"/>
  <c r="O15" s="1"/>
  <c r="T15" s="1"/>
  <c r="U15" s="1"/>
  <c r="W15"/>
  <c r="K38"/>
  <c r="L38" s="1"/>
  <c r="M38" s="1"/>
  <c r="O38" s="1"/>
  <c r="T38" s="1"/>
  <c r="U38" s="1"/>
  <c r="V38"/>
  <c r="W38" s="1"/>
  <c r="K14"/>
  <c r="L14" s="1"/>
  <c r="M14" s="1"/>
  <c r="O14" s="1"/>
  <c r="U14" s="1"/>
  <c r="W14"/>
  <c r="K51"/>
  <c r="L51" s="1"/>
  <c r="V51"/>
  <c r="W51" s="1"/>
  <c r="K11"/>
  <c r="L11" s="1"/>
  <c r="M11" s="1"/>
  <c r="O11" s="1"/>
  <c r="U11" s="1"/>
  <c r="V11"/>
  <c r="W11" s="1"/>
  <c r="K50"/>
  <c r="L50" s="1"/>
  <c r="V50"/>
  <c r="W50" s="1"/>
  <c r="K9"/>
  <c r="L9" s="1"/>
  <c r="M9" s="1"/>
  <c r="O9" s="1"/>
  <c r="U9" s="1"/>
  <c r="V9"/>
  <c r="W9" s="1"/>
  <c r="K13"/>
  <c r="L13" s="1"/>
  <c r="M13" s="1"/>
  <c r="O13" s="1"/>
  <c r="T13" s="1"/>
  <c r="U13" s="1"/>
  <c r="V13"/>
  <c r="W13" s="1"/>
  <c r="J52"/>
  <c r="K49"/>
  <c r="V49"/>
  <c r="K48"/>
  <c r="L48" s="1"/>
  <c r="M48" s="1"/>
  <c r="O48" s="1"/>
  <c r="T48" s="1"/>
  <c r="T52" s="1"/>
  <c r="J31"/>
  <c r="J39"/>
  <c r="J17"/>
  <c r="J24"/>
  <c r="P13"/>
  <c r="R13" s="1"/>
  <c r="S13" s="1"/>
  <c r="O16"/>
  <c r="T16" s="1"/>
  <c r="U16" s="1"/>
  <c r="P7"/>
  <c r="R7" s="1"/>
  <c r="S7" s="1"/>
  <c r="L18" l="1"/>
  <c r="L24" s="1"/>
  <c r="K24"/>
  <c r="O19"/>
  <c r="O24" s="1"/>
  <c r="M24"/>
  <c r="T24"/>
  <c r="J40"/>
  <c r="V24"/>
  <c r="P12"/>
  <c r="R12" s="1"/>
  <c r="S12" s="1"/>
  <c r="W24"/>
  <c r="W56" s="1"/>
  <c r="P10"/>
  <c r="S10" s="1"/>
  <c r="W27"/>
  <c r="W31" s="1"/>
  <c r="V31"/>
  <c r="K17"/>
  <c r="L39"/>
  <c r="M33"/>
  <c r="M39" s="1"/>
  <c r="P9"/>
  <c r="S9" s="1"/>
  <c r="L6"/>
  <c r="L27"/>
  <c r="K31"/>
  <c r="V39"/>
  <c r="V17"/>
  <c r="W6"/>
  <c r="W17" s="1"/>
  <c r="K39"/>
  <c r="P15"/>
  <c r="R15" s="1"/>
  <c r="S15" s="1"/>
  <c r="U48"/>
  <c r="P11"/>
  <c r="S11" s="1"/>
  <c r="P8"/>
  <c r="S8" s="1"/>
  <c r="P14"/>
  <c r="S14" s="1"/>
  <c r="W39"/>
  <c r="W49"/>
  <c r="W52" s="1"/>
  <c r="W58" s="1"/>
  <c r="V52"/>
  <c r="L49"/>
  <c r="K52"/>
  <c r="P16"/>
  <c r="R16" s="1"/>
  <c r="O33"/>
  <c r="O39" s="1"/>
  <c r="W55" l="1"/>
  <c r="V40"/>
  <c r="W57"/>
  <c r="W40"/>
  <c r="K40"/>
  <c r="M6"/>
  <c r="L17"/>
  <c r="M27"/>
  <c r="L31"/>
  <c r="M49"/>
  <c r="L52"/>
  <c r="S16"/>
  <c r="T33"/>
  <c r="T39" s="1"/>
  <c r="L40" l="1"/>
  <c r="O27"/>
  <c r="M31"/>
  <c r="O6"/>
  <c r="M17"/>
  <c r="O49"/>
  <c r="M52"/>
  <c r="U33"/>
  <c r="U39" s="1"/>
  <c r="M40" l="1"/>
  <c r="T6"/>
  <c r="O17"/>
  <c r="P6"/>
  <c r="T27"/>
  <c r="O31"/>
  <c r="U49"/>
  <c r="U52" s="1"/>
  <c r="O52"/>
  <c r="O40" s="1"/>
  <c r="U27" l="1"/>
  <c r="U31" s="1"/>
  <c r="T31"/>
  <c r="R6"/>
  <c r="P17"/>
  <c r="P40" s="1"/>
  <c r="T17"/>
  <c r="U6"/>
  <c r="U17" s="1"/>
  <c r="U40" l="1"/>
  <c r="B28" i="4" s="1"/>
  <c r="B29" s="1"/>
  <c r="C29" s="1"/>
  <c r="T40" i="7"/>
  <c r="R17"/>
  <c r="R40" s="1"/>
  <c r="S6"/>
  <c r="S17" s="1"/>
  <c r="S40" s="1"/>
  <c r="B25" i="4" s="1"/>
  <c r="B26" s="1"/>
</calcChain>
</file>

<file path=xl/comments1.xml><?xml version="1.0" encoding="utf-8"?>
<comments xmlns="http://schemas.openxmlformats.org/spreadsheetml/2006/main">
  <authors>
    <author>Mike Young</author>
  </authors>
  <commentList>
    <comment ref="N21" authorId="0">
      <text>
        <r>
          <rPr>
            <b/>
            <sz val="9"/>
            <color indexed="81"/>
            <rFont val="Tahoma"/>
            <family val="2"/>
          </rPr>
          <t>Mike Young:</t>
        </r>
        <r>
          <rPr>
            <sz val="9"/>
            <color indexed="81"/>
            <rFont val="Tahoma"/>
            <family val="2"/>
          </rPr>
          <t xml:space="preserve">
per pick up rate</t>
        </r>
      </text>
    </comment>
  </commentList>
</comments>
</file>

<file path=xl/sharedStrings.xml><?xml version="1.0" encoding="utf-8"?>
<sst xmlns="http://schemas.openxmlformats.org/spreadsheetml/2006/main" count="128" uniqueCount="110">
  <si>
    <t>Monthly Frequency</t>
  </si>
  <si>
    <t>Annual PU's</t>
  </si>
  <si>
    <t>Gross Up</t>
  </si>
  <si>
    <t>Totals</t>
  </si>
  <si>
    <t>Increase per ton</t>
  </si>
  <si>
    <t>Total Pick Ups</t>
  </si>
  <si>
    <t>Per Ton</t>
  </si>
  <si>
    <t>Per Pound</t>
  </si>
  <si>
    <t>Increase</t>
  </si>
  <si>
    <t>Disposal fee</t>
  </si>
  <si>
    <t>Meeks Weights</t>
  </si>
  <si>
    <t>Adjustment factor</t>
  </si>
  <si>
    <t>Collected Revenue Excess/(Deficiency)</t>
  </si>
  <si>
    <t>Residential</t>
  </si>
  <si>
    <t>Commercial</t>
  </si>
  <si>
    <t>Tariff Page</t>
  </si>
  <si>
    <t>Total</t>
  </si>
  <si>
    <t>Scheduled Service</t>
  </si>
  <si>
    <t>Monthly Factor</t>
  </si>
  <si>
    <t>Lbs. per ton</t>
  </si>
  <si>
    <t>Yds. Per ton</t>
  </si>
  <si>
    <t>Weekly Pickup (WG)</t>
  </si>
  <si>
    <t>Monthly (MG)</t>
  </si>
  <si>
    <t>Every Other Week (EOWG)</t>
  </si>
  <si>
    <t>Tons Collected</t>
  </si>
  <si>
    <t>Grossed Up Increase per ton</t>
  </si>
  <si>
    <t>Gross Up Factors</t>
  </si>
  <si>
    <t>B&amp;O tax</t>
  </si>
  <si>
    <t>WUTC fees</t>
  </si>
  <si>
    <t>Factor</t>
  </si>
  <si>
    <t>Disposal Fee Revenue Increase</t>
  </si>
  <si>
    <t>Extras</t>
  </si>
  <si>
    <t>Total Tonnage</t>
  </si>
  <si>
    <t>Total Pounds</t>
  </si>
  <si>
    <t>Calculated Annual Pounds</t>
  </si>
  <si>
    <t>Adjusted Annual Pounds</t>
  </si>
  <si>
    <t>Staff Calculated Rate</t>
  </si>
  <si>
    <t>Company Proposed Tariff</t>
  </si>
  <si>
    <t>Company Proposed Revenue</t>
  </si>
  <si>
    <t>Company Current Tariff</t>
  </si>
  <si>
    <t>Company Current Revenue</t>
  </si>
  <si>
    <t>Staff Calculated Revenue</t>
  </si>
  <si>
    <t>Monthly Customers</t>
  </si>
  <si>
    <t>Tariff Rate Increase</t>
  </si>
  <si>
    <t>Company Increased Revenue</t>
  </si>
  <si>
    <t xml:space="preserve">Twice Weekly Pickup </t>
  </si>
  <si>
    <t>1 unit</t>
  </si>
  <si>
    <t>2 units</t>
  </si>
  <si>
    <t>3 units</t>
  </si>
  <si>
    <t>n/a</t>
  </si>
  <si>
    <t>Revenue from Company Rates</t>
  </si>
  <si>
    <t>Revenue from Revised Rates</t>
  </si>
  <si>
    <t>4 units</t>
  </si>
  <si>
    <t>Some County Disposal Fees</t>
  </si>
  <si>
    <t>Current Rate</t>
  </si>
  <si>
    <t>New Rate</t>
  </si>
  <si>
    <t>Staff Revenue Increase</t>
  </si>
  <si>
    <t>Rounding Factor</t>
  </si>
  <si>
    <t>Disposal Fee Increases</t>
  </si>
  <si>
    <t>Based on previous rate case (including disposal fee filing)</t>
  </si>
  <si>
    <t>disposal tons</t>
  </si>
  <si>
    <t>Commission's own motion or Company request</t>
  </si>
  <si>
    <t>order templates</t>
  </si>
  <si>
    <t>Order required granting exemption from work paper filing requirements WAC 480-07-520 (4)</t>
  </si>
  <si>
    <t>note: Include bad debt if it was included in Lurito model</t>
  </si>
  <si>
    <t>Order language:</t>
  </si>
  <si>
    <t>fees are set by the county and are expenses of the company…</t>
  </si>
  <si>
    <t>no significant changes since the last rate case i.e. customer counts, tonnage, collection methods</t>
  </si>
  <si>
    <t>company's financial information supports the increase</t>
  </si>
  <si>
    <t>Staff's conclusion is rate increase is fair, just, and reasonable</t>
  </si>
  <si>
    <t>Customer count/price out</t>
  </si>
  <si>
    <t>Allocation of regulated and non-regulated</t>
  </si>
  <si>
    <t>Tariff complies with tariff requirements</t>
  </si>
  <si>
    <t>Other language changes  or new rates</t>
  </si>
  <si>
    <t>Based on Meeks weights, or allowed company alternative (used in last rate case)</t>
  </si>
  <si>
    <t>container size or service offering not on Meeks list</t>
  </si>
  <si>
    <t>Tariff Changes</t>
  </si>
  <si>
    <t>only weight based rates are changed</t>
  </si>
  <si>
    <t xml:space="preserve">Item No. </t>
  </si>
  <si>
    <t>Use applicable disposal fee description for agenda</t>
  </si>
  <si>
    <t>Freedom 2000</t>
  </si>
  <si>
    <t>1 minican week</t>
  </si>
  <si>
    <t>1 can week</t>
  </si>
  <si>
    <t>2 cans week</t>
  </si>
  <si>
    <t>3 cans week</t>
  </si>
  <si>
    <t>4 cans week</t>
  </si>
  <si>
    <t>5 cans week</t>
  </si>
  <si>
    <t>1 minican EOW</t>
  </si>
  <si>
    <t>1 can EOW</t>
  </si>
  <si>
    <t>1 can per month</t>
  </si>
  <si>
    <t>96 gal cart weekly</t>
  </si>
  <si>
    <t>Monthly cont. rent 1.5 yd</t>
  </si>
  <si>
    <t>1st 1.5 Yd Container of Month</t>
  </si>
  <si>
    <t>4 cont week</t>
  </si>
  <si>
    <t>1 cont EOW</t>
  </si>
  <si>
    <t>1 cont month</t>
  </si>
  <si>
    <t>Extra cans (32 Gal)</t>
  </si>
  <si>
    <t>Prepaid Tags (32 Gal)</t>
  </si>
  <si>
    <t>Overweight/Overfull (32Gal)</t>
  </si>
  <si>
    <t>Mini Cans (20 Gal)</t>
  </si>
  <si>
    <t>Recycling</t>
  </si>
  <si>
    <t>Extra Containers</t>
  </si>
  <si>
    <t>Recycling 1 can EOW</t>
  </si>
  <si>
    <t>On call containers</t>
  </si>
  <si>
    <t>Temp Cont</t>
  </si>
  <si>
    <t>Extra cans</t>
  </si>
  <si>
    <t>Garbage</t>
  </si>
  <si>
    <t>Projected Annual Pounds</t>
  </si>
  <si>
    <t>Projected Annual Tons</t>
  </si>
  <si>
    <t>Total Garbage</t>
  </si>
</sst>
</file>

<file path=xl/styles.xml><?xml version="1.0" encoding="utf-8"?>
<styleSheet xmlns="http://schemas.openxmlformats.org/spreadsheetml/2006/main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  <numFmt numFmtId="165" formatCode="_(&quot;$&quot;* #,##0.000_);_(&quot;$&quot;* \(#,##0.000\);_(&quot;$&quot;* &quot;-&quot;??_);_(@_)"/>
    <numFmt numFmtId="166" formatCode="_(* #,##0_);_(* \(#,##0\);_(* &quot;-&quot;??_);_(@_)"/>
    <numFmt numFmtId="167" formatCode="_(* #,##0.000000_);_(* \(#,##0.000000\);_(* &quot;-&quot;??_);_(@_)"/>
    <numFmt numFmtId="168" formatCode="0.000000"/>
    <numFmt numFmtId="169" formatCode="General_)"/>
    <numFmt numFmtId="170" formatCode="0.0%"/>
  </numFmts>
  <fonts count="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indexed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sz val="10"/>
      <color indexed="8"/>
      <name val="Arial"/>
      <family val="2"/>
    </font>
    <font>
      <sz val="12"/>
      <name val="Courier"/>
      <family val="3"/>
    </font>
    <font>
      <sz val="9"/>
      <color indexed="8"/>
      <name val="Arial"/>
      <family val="2"/>
    </font>
    <font>
      <b/>
      <sz val="10"/>
      <color indexed="12"/>
      <name val="Arial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0"/>
      <color indexed="12"/>
      <name val="Arial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sz val="12"/>
      <name val="SWISS"/>
    </font>
    <font>
      <i/>
      <sz val="10"/>
      <color indexed="10"/>
      <name val="Arial"/>
      <family val="2"/>
    </font>
    <font>
      <sz val="10"/>
      <name val="MS Sans Serif"/>
      <family val="2"/>
    </font>
    <font>
      <b/>
      <sz val="10"/>
      <name val="MS Sans Serif"/>
      <family val="2"/>
    </font>
    <font>
      <b/>
      <sz val="11"/>
      <color indexed="8"/>
      <name val="Calibri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65"/>
        <bgColor indexed="10"/>
      </patternFill>
    </fill>
    <fill>
      <patternFill patternType="gray125">
        <fgColor indexed="10"/>
      </patternFill>
    </fill>
    <fill>
      <patternFill patternType="solid">
        <fgColor indexed="42"/>
      </patternFill>
    </fill>
    <fill>
      <patternFill patternType="solid">
        <fgColor indexed="22"/>
        <bgColor indexed="64"/>
      </patternFill>
    </fill>
    <fill>
      <patternFill patternType="solid">
        <fgColor indexed="26"/>
      </patternFill>
    </fill>
    <fill>
      <patternFill patternType="solid">
        <fgColor theme="6" tint="0.7999816888943144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30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4" borderId="0" applyNumberFormat="0" applyBorder="0" applyAlignment="0" applyProtection="0"/>
    <xf numFmtId="0" fontId="9" fillId="2" borderId="0" applyNumberFormat="0" applyBorder="0" applyAlignment="0" applyProtection="0"/>
    <xf numFmtId="0" fontId="9" fillId="5" borderId="0" applyNumberFormat="0" applyBorder="0" applyAlignment="0" applyProtection="0"/>
    <xf numFmtId="0" fontId="9" fillId="5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41" fontId="3" fillId="0" borderId="0"/>
    <xf numFmtId="0" fontId="10" fillId="10" borderId="0" applyNumberFormat="0" applyBorder="0" applyAlignment="0" applyProtection="0"/>
    <xf numFmtId="3" fontId="3" fillId="0" borderId="0"/>
    <xf numFmtId="0" fontId="11" fillId="11" borderId="6" applyNumberFormat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" fontId="12" fillId="0" borderId="0"/>
    <xf numFmtId="0" fontId="13" fillId="0" borderId="0"/>
    <xf numFmtId="0" fontId="13" fillId="0" borderId="0"/>
    <xf numFmtId="0" fontId="14" fillId="12" borderId="1" applyAlignment="0">
      <alignment horizontal="right"/>
      <protection locked="0"/>
    </xf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15" fillId="13" borderId="0">
      <alignment horizontal="right"/>
      <protection locked="0"/>
    </xf>
    <xf numFmtId="2" fontId="15" fillId="13" borderId="0">
      <alignment horizontal="right"/>
      <protection locked="0"/>
    </xf>
    <xf numFmtId="0" fontId="16" fillId="14" borderId="0" applyNumberFormat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3" fontId="22" fillId="15" borderId="0">
      <protection locked="0"/>
    </xf>
    <xf numFmtId="4" fontId="22" fillId="15" borderId="0">
      <protection locked="0"/>
    </xf>
    <xf numFmtId="0" fontId="23" fillId="0" borderId="10" applyNumberFormat="0" applyFill="0" applyAlignment="0" applyProtection="0"/>
    <xf numFmtId="0" fontId="24" fillId="4" borderId="0" applyNumberFormat="0" applyBorder="0" applyAlignment="0" applyProtection="0"/>
    <xf numFmtId="43" fontId="3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8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9" fontId="25" fillId="0" borderId="0"/>
    <xf numFmtId="0" fontId="26" fillId="0" borderId="0"/>
    <xf numFmtId="0" fontId="25" fillId="0" borderId="0"/>
    <xf numFmtId="0" fontId="3" fillId="0" borderId="0"/>
    <xf numFmtId="0" fontId="25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16" borderId="11" applyNumberFormat="0" applyFont="0" applyAlignment="0" applyProtection="0"/>
    <xf numFmtId="170" fontId="27" fillId="0" borderId="0" applyNumberFormat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8" fillId="0" borderId="0" applyFont="0" applyFill="0" applyBorder="0" applyAlignment="0" applyProtection="0"/>
    <xf numFmtId="170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0" fontId="3" fillId="0" borderId="0"/>
    <xf numFmtId="0" fontId="28" fillId="0" borderId="0" applyNumberFormat="0" applyFont="0" applyFill="0" applyBorder="0" applyAlignment="0" applyProtection="0">
      <alignment horizontal="left"/>
    </xf>
    <xf numFmtId="0" fontId="29" fillId="0" borderId="5">
      <alignment horizontal="center"/>
    </xf>
    <xf numFmtId="0" fontId="12" fillId="0" borderId="0">
      <alignment vertical="top"/>
    </xf>
    <xf numFmtId="0" fontId="12" fillId="0" borderId="0" applyNumberFormat="0" applyBorder="0" applyAlignment="0"/>
    <xf numFmtId="0" fontId="30" fillId="0" borderId="12" applyNumberFormat="0" applyFill="0" applyAlignment="0" applyProtection="0"/>
    <xf numFmtId="44" fontId="3" fillId="0" borderId="0" applyFont="0" applyFill="0" applyBorder="0" applyAlignment="0" applyProtection="0"/>
  </cellStyleXfs>
  <cellXfs count="183">
    <xf numFmtId="0" fontId="0" fillId="0" borderId="0" xfId="0"/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wrapText="1"/>
    </xf>
    <xf numFmtId="43" fontId="0" fillId="0" borderId="0" xfId="0" applyNumberFormat="1"/>
    <xf numFmtId="44" fontId="0" fillId="0" borderId="0" xfId="2" applyFont="1"/>
    <xf numFmtId="44" fontId="0" fillId="0" borderId="1" xfId="2" applyFont="1" applyBorder="1"/>
    <xf numFmtId="0" fontId="0" fillId="0" borderId="0" xfId="0" applyAlignment="1">
      <alignment horizontal="right"/>
    </xf>
    <xf numFmtId="165" fontId="0" fillId="0" borderId="0" xfId="2" applyNumberFormat="1" applyFont="1"/>
    <xf numFmtId="165" fontId="0" fillId="0" borderId="1" xfId="2" applyNumberFormat="1" applyFont="1" applyBorder="1"/>
    <xf numFmtId="0" fontId="0" fillId="0" borderId="0" xfId="0" applyBorder="1" applyAlignment="1">
      <alignment horizontal="right" wrapText="1"/>
    </xf>
    <xf numFmtId="0" fontId="0" fillId="0" borderId="0" xfId="0" applyBorder="1" applyAlignment="1">
      <alignment horizontal="center" wrapText="1"/>
    </xf>
    <xf numFmtId="44" fontId="0" fillId="0" borderId="0" xfId="0" applyNumberFormat="1" applyBorder="1"/>
    <xf numFmtId="10" fontId="0" fillId="0" borderId="0" xfId="3" applyNumberFormat="1" applyFont="1" applyBorder="1"/>
    <xf numFmtId="10" fontId="0" fillId="0" borderId="0" xfId="3" applyNumberFormat="1" applyFont="1"/>
    <xf numFmtId="0" fontId="0" fillId="0" borderId="0" xfId="0" applyBorder="1" applyAlignment="1">
      <alignment horizontal="right"/>
    </xf>
    <xf numFmtId="43" fontId="0" fillId="0" borderId="0" xfId="0" applyNumberFormat="1" applyFill="1" applyBorder="1"/>
    <xf numFmtId="43" fontId="0" fillId="0" borderId="0" xfId="1" applyFont="1" applyFill="1" applyBorder="1"/>
    <xf numFmtId="0" fontId="0" fillId="0" borderId="0" xfId="0"/>
    <xf numFmtId="0" fontId="0" fillId="0" borderId="0" xfId="0" applyBorder="1"/>
    <xf numFmtId="0" fontId="3" fillId="0" borderId="0" xfId="4" applyFont="1" applyFill="1" applyBorder="1" applyAlignment="1">
      <alignment horizontal="left"/>
    </xf>
    <xf numFmtId="0" fontId="0" fillId="0" borderId="0" xfId="0" applyBorder="1" applyAlignment="1">
      <alignment wrapText="1"/>
    </xf>
    <xf numFmtId="3" fontId="0" fillId="0" borderId="0" xfId="0" applyNumberFormat="1" applyFill="1" applyBorder="1"/>
    <xf numFmtId="166" fontId="0" fillId="0" borderId="0" xfId="1" applyNumberFormat="1" applyFont="1" applyFill="1" applyBorder="1"/>
    <xf numFmtId="166" fontId="0" fillId="0" borderId="0" xfId="1" applyNumberFormat="1" applyFont="1" applyFill="1"/>
    <xf numFmtId="0" fontId="0" fillId="0" borderId="0" xfId="0" applyFill="1"/>
    <xf numFmtId="3" fontId="0" fillId="0" borderId="1" xfId="0" applyNumberFormat="1" applyFill="1" applyBorder="1"/>
    <xf numFmtId="43" fontId="0" fillId="0" borderId="1" xfId="1" applyFont="1" applyFill="1" applyBorder="1"/>
    <xf numFmtId="43" fontId="0" fillId="0" borderId="1" xfId="0" applyNumberFormat="1" applyFill="1" applyBorder="1"/>
    <xf numFmtId="43" fontId="0" fillId="0" borderId="0" xfId="1" applyFont="1" applyBorder="1" applyAlignment="1">
      <alignment horizontal="center" wrapText="1"/>
    </xf>
    <xf numFmtId="43" fontId="0" fillId="0" borderId="0" xfId="1" applyFont="1" applyBorder="1" applyAlignment="1">
      <alignment wrapText="1"/>
    </xf>
    <xf numFmtId="0" fontId="0" fillId="0" borderId="0" xfId="0" applyFill="1" applyBorder="1" applyAlignment="1">
      <alignment vertical="center"/>
    </xf>
    <xf numFmtId="43" fontId="0" fillId="0" borderId="3" xfId="0" applyNumberFormat="1" applyFill="1" applyBorder="1"/>
    <xf numFmtId="0" fontId="0" fillId="0" borderId="1" xfId="0" applyFill="1" applyBorder="1" applyAlignment="1">
      <alignment vertical="center"/>
    </xf>
    <xf numFmtId="0" fontId="3" fillId="0" borderId="1" xfId="4" applyFont="1" applyFill="1" applyBorder="1" applyAlignment="1">
      <alignment horizontal="left"/>
    </xf>
    <xf numFmtId="166" fontId="0" fillId="0" borderId="1" xfId="1" applyNumberFormat="1" applyFont="1" applyFill="1" applyBorder="1"/>
    <xf numFmtId="43" fontId="0" fillId="0" borderId="0" xfId="1" applyFont="1" applyBorder="1"/>
    <xf numFmtId="43" fontId="0" fillId="0" borderId="0" xfId="0" applyNumberFormat="1" applyBorder="1"/>
    <xf numFmtId="166" fontId="0" fillId="0" borderId="0" xfId="1" applyNumberFormat="1" applyFont="1"/>
    <xf numFmtId="0" fontId="0" fillId="0" borderId="0" xfId="0" applyAlignment="1">
      <alignment horizontal="center"/>
    </xf>
    <xf numFmtId="0" fontId="4" fillId="0" borderId="1" xfId="0" applyFont="1" applyBorder="1"/>
    <xf numFmtId="44" fontId="0" fillId="0" borderId="0" xfId="0" applyNumberFormat="1"/>
    <xf numFmtId="168" fontId="0" fillId="0" borderId="0" xfId="0" applyNumberFormat="1"/>
    <xf numFmtId="0" fontId="4" fillId="0" borderId="0" xfId="0" applyFont="1"/>
    <xf numFmtId="0" fontId="0" fillId="0" borderId="0" xfId="0" applyBorder="1" applyAlignment="1">
      <alignment horizontal="left"/>
    </xf>
    <xf numFmtId="44" fontId="0" fillId="0" borderId="0" xfId="2" applyFont="1" applyBorder="1"/>
    <xf numFmtId="0" fontId="2" fillId="0" borderId="0" xfId="0" applyFont="1" applyBorder="1"/>
    <xf numFmtId="167" fontId="2" fillId="0" borderId="0" xfId="1" applyNumberFormat="1" applyFont="1" applyBorder="1"/>
    <xf numFmtId="0" fontId="5" fillId="0" borderId="0" xfId="4" applyFont="1" applyFill="1" applyBorder="1" applyAlignment="1">
      <alignment horizontal="left"/>
    </xf>
    <xf numFmtId="3" fontId="4" fillId="0" borderId="0" xfId="0" applyNumberFormat="1" applyFont="1" applyFill="1" applyBorder="1"/>
    <xf numFmtId="44" fontId="0" fillId="0" borderId="3" xfId="1" applyNumberFormat="1" applyFont="1" applyFill="1" applyBorder="1"/>
    <xf numFmtId="44" fontId="0" fillId="0" borderId="0" xfId="1" applyNumberFormat="1" applyFont="1" applyFill="1" applyBorder="1"/>
    <xf numFmtId="44" fontId="0" fillId="0" borderId="1" xfId="1" applyNumberFormat="1" applyFont="1" applyFill="1" applyBorder="1"/>
    <xf numFmtId="164" fontId="0" fillId="0" borderId="0" xfId="1" applyNumberFormat="1" applyFont="1" applyFill="1" applyBorder="1"/>
    <xf numFmtId="164" fontId="0" fillId="0" borderId="1" xfId="1" applyNumberFormat="1" applyFont="1" applyFill="1" applyBorder="1"/>
    <xf numFmtId="3" fontId="4" fillId="0" borderId="1" xfId="0" applyNumberFormat="1" applyFont="1" applyFill="1" applyBorder="1"/>
    <xf numFmtId="43" fontId="0" fillId="0" borderId="2" xfId="1" applyFont="1" applyFill="1" applyBorder="1"/>
    <xf numFmtId="44" fontId="0" fillId="0" borderId="0" xfId="2" applyNumberFormat="1" applyFont="1" applyFill="1" applyBorder="1"/>
    <xf numFmtId="44" fontId="0" fillId="0" borderId="1" xfId="2" applyNumberFormat="1" applyFont="1" applyFill="1" applyBorder="1"/>
    <xf numFmtId="166" fontId="0" fillId="0" borderId="3" xfId="0" applyNumberFormat="1" applyFill="1" applyBorder="1"/>
    <xf numFmtId="166" fontId="0" fillId="0" borderId="0" xfId="0" applyNumberFormat="1" applyFill="1" applyBorder="1"/>
    <xf numFmtId="166" fontId="0" fillId="0" borderId="1" xfId="0" applyNumberFormat="1" applyFill="1" applyBorder="1"/>
    <xf numFmtId="166" fontId="4" fillId="0" borderId="1" xfId="0" applyNumberFormat="1" applyFont="1" applyFill="1" applyBorder="1"/>
    <xf numFmtId="43" fontId="0" fillId="0" borderId="1" xfId="1" applyFont="1" applyBorder="1" applyAlignment="1">
      <alignment wrapText="1"/>
    </xf>
    <xf numFmtId="43" fontId="0" fillId="0" borderId="1" xfId="1" applyFont="1" applyBorder="1" applyAlignment="1">
      <alignment horizontal="center" wrapText="1"/>
    </xf>
    <xf numFmtId="0" fontId="0" fillId="0" borderId="2" xfId="0" applyFill="1" applyBorder="1"/>
    <xf numFmtId="0" fontId="5" fillId="0" borderId="2" xfId="4" applyFont="1" applyFill="1" applyBorder="1" applyAlignment="1">
      <alignment horizontal="left"/>
    </xf>
    <xf numFmtId="0" fontId="0" fillId="0" borderId="2" xfId="0" applyBorder="1"/>
    <xf numFmtId="0" fontId="5" fillId="0" borderId="2" xfId="4" applyFont="1" applyFill="1" applyBorder="1" applyAlignment="1">
      <alignment horizontal="center" vertical="center"/>
    </xf>
    <xf numFmtId="0" fontId="0" fillId="0" borderId="2" xfId="0" applyBorder="1" applyAlignment="1">
      <alignment wrapText="1"/>
    </xf>
    <xf numFmtId="166" fontId="4" fillId="0" borderId="2" xfId="0" applyNumberFormat="1" applyFont="1" applyBorder="1"/>
    <xf numFmtId="43" fontId="4" fillId="0" borderId="2" xfId="1" applyFont="1" applyBorder="1" applyAlignment="1">
      <alignment horizontal="center" wrapText="1"/>
    </xf>
    <xf numFmtId="3" fontId="4" fillId="0" borderId="2" xfId="0" applyNumberFormat="1" applyFont="1" applyFill="1" applyBorder="1"/>
    <xf numFmtId="0" fontId="5" fillId="0" borderId="0" xfId="4" applyFont="1" applyFill="1" applyBorder="1" applyAlignment="1">
      <alignment horizontal="center" vertical="center"/>
    </xf>
    <xf numFmtId="164" fontId="0" fillId="0" borderId="0" xfId="1" applyNumberFormat="1" applyFont="1" applyFill="1"/>
    <xf numFmtId="0" fontId="0" fillId="0" borderId="4" xfId="0" applyBorder="1"/>
    <xf numFmtId="0" fontId="5" fillId="0" borderId="4" xfId="4" applyFont="1" applyFill="1" applyBorder="1" applyAlignment="1">
      <alignment horizontal="left"/>
    </xf>
    <xf numFmtId="0" fontId="0" fillId="0" borderId="0" xfId="0" applyFont="1"/>
    <xf numFmtId="0" fontId="4" fillId="0" borderId="1" xfId="0" applyFont="1" applyBorder="1" applyAlignment="1">
      <alignment horizontal="center" vertical="center"/>
    </xf>
    <xf numFmtId="164" fontId="0" fillId="0" borderId="0" xfId="2" applyNumberFormat="1" applyFont="1" applyFill="1" applyBorder="1"/>
    <xf numFmtId="164" fontId="0" fillId="0" borderId="0" xfId="0" applyNumberFormat="1" applyFill="1" applyBorder="1"/>
    <xf numFmtId="0" fontId="0" fillId="0" borderId="1" xfId="0" applyBorder="1" applyAlignment="1">
      <alignment horizontal="center"/>
    </xf>
    <xf numFmtId="44" fontId="4" fillId="0" borderId="0" xfId="0" applyNumberFormat="1" applyFont="1"/>
    <xf numFmtId="44" fontId="4" fillId="0" borderId="1" xfId="0" applyNumberFormat="1" applyFont="1" applyBorder="1"/>
    <xf numFmtId="0" fontId="0" fillId="0" borderId="1" xfId="0" applyFill="1" applyBorder="1" applyAlignment="1">
      <alignment horizontal="center"/>
    </xf>
    <xf numFmtId="43" fontId="0" fillId="0" borderId="0" xfId="1" applyFont="1" applyAlignment="1">
      <alignment horizontal="center"/>
    </xf>
    <xf numFmtId="0" fontId="4" fillId="0" borderId="1" xfId="0" applyFont="1" applyBorder="1" applyAlignment="1">
      <alignment horizontal="left"/>
    </xf>
    <xf numFmtId="0" fontId="0" fillId="0" borderId="0" xfId="0" applyBorder="1" applyAlignment="1"/>
    <xf numFmtId="0" fontId="6" fillId="0" borderId="0" xfId="0" applyFont="1" applyBorder="1"/>
    <xf numFmtId="0" fontId="0" fillId="0" borderId="1" xfId="0" applyFill="1" applyBorder="1" applyAlignment="1">
      <alignment horizontal="center" vertical="center" textRotation="90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31" fillId="0" borderId="0" xfId="4" applyFont="1" applyFill="1" applyBorder="1" applyAlignment="1">
      <alignment horizontal="left"/>
    </xf>
    <xf numFmtId="0" fontId="31" fillId="0" borderId="1" xfId="4" applyFont="1" applyFill="1" applyBorder="1" applyAlignment="1">
      <alignment horizontal="left"/>
    </xf>
    <xf numFmtId="0" fontId="32" fillId="0" borderId="0" xfId="105" applyFont="1" applyFill="1" applyBorder="1" applyAlignment="1">
      <alignment horizontal="center" vertical="center"/>
    </xf>
    <xf numFmtId="0" fontId="32" fillId="0" borderId="1" xfId="105" applyFont="1" applyFill="1" applyBorder="1" applyAlignment="1">
      <alignment horizontal="center" vertical="center"/>
    </xf>
    <xf numFmtId="3" fontId="32" fillId="0" borderId="0" xfId="105" applyNumberFormat="1" applyFont="1" applyFill="1" applyBorder="1"/>
    <xf numFmtId="43" fontId="31" fillId="0" borderId="0" xfId="36" applyFont="1" applyFill="1" applyBorder="1"/>
    <xf numFmtId="3" fontId="32" fillId="0" borderId="1" xfId="105" applyNumberFormat="1" applyFont="1" applyFill="1" applyBorder="1"/>
    <xf numFmtId="0" fontId="32" fillId="0" borderId="3" xfId="105" applyFont="1" applyFill="1" applyBorder="1" applyAlignment="1">
      <alignment vertical="center"/>
    </xf>
    <xf numFmtId="0" fontId="31" fillId="0" borderId="3" xfId="4" applyFont="1" applyFill="1" applyBorder="1" applyAlignment="1">
      <alignment horizontal="left"/>
    </xf>
    <xf numFmtId="3" fontId="32" fillId="0" borderId="3" xfId="105" applyNumberFormat="1" applyFont="1" applyFill="1" applyBorder="1"/>
    <xf numFmtId="0" fontId="32" fillId="0" borderId="0" xfId="105" applyFont="1" applyFill="1" applyBorder="1" applyAlignment="1">
      <alignment vertical="center"/>
    </xf>
    <xf numFmtId="0" fontId="32" fillId="0" borderId="1" xfId="105" applyFont="1" applyFill="1" applyBorder="1" applyAlignment="1">
      <alignment vertical="center"/>
    </xf>
    <xf numFmtId="43" fontId="31" fillId="0" borderId="1" xfId="36" applyFont="1" applyFill="1" applyBorder="1"/>
    <xf numFmtId="166" fontId="32" fillId="0" borderId="0" xfId="105" applyNumberFormat="1" applyFont="1" applyFill="1" applyBorder="1"/>
    <xf numFmtId="166" fontId="32" fillId="0" borderId="1" xfId="105" applyNumberFormat="1" applyFont="1" applyFill="1" applyBorder="1"/>
    <xf numFmtId="44" fontId="31" fillId="0" borderId="0" xfId="36" applyNumberFormat="1" applyFont="1" applyFill="1" applyBorder="1"/>
    <xf numFmtId="44" fontId="31" fillId="0" borderId="0" xfId="36" applyNumberFormat="1" applyFont="1" applyFill="1" applyBorder="1" applyAlignment="1">
      <alignment horizontal="center" wrapText="1"/>
    </xf>
    <xf numFmtId="44" fontId="31" fillId="0" borderId="1" xfId="36" applyNumberFormat="1" applyFont="1" applyFill="1" applyBorder="1" applyAlignment="1">
      <alignment horizontal="center" wrapText="1"/>
    </xf>
    <xf numFmtId="44" fontId="31" fillId="0" borderId="1" xfId="36" applyNumberFormat="1" applyFont="1" applyFill="1" applyBorder="1"/>
    <xf numFmtId="44" fontId="31" fillId="0" borderId="0" xfId="6" applyNumberFormat="1" applyFont="1" applyFill="1" applyBorder="1"/>
    <xf numFmtId="0" fontId="32" fillId="0" borderId="0" xfId="105" applyFont="1" applyFill="1" applyBorder="1"/>
    <xf numFmtId="0" fontId="0" fillId="0" borderId="3" xfId="0" applyFill="1" applyBorder="1" applyAlignment="1">
      <alignment vertical="center" textRotation="90"/>
    </xf>
    <xf numFmtId="166" fontId="4" fillId="0" borderId="2" xfId="0" applyNumberFormat="1" applyFont="1" applyFill="1" applyBorder="1"/>
    <xf numFmtId="43" fontId="0" fillId="0" borderId="2" xfId="0" applyNumberFormat="1" applyFill="1" applyBorder="1"/>
    <xf numFmtId="0" fontId="0" fillId="0" borderId="0" xfId="2" applyNumberFormat="1" applyFont="1" applyFill="1" applyBorder="1"/>
    <xf numFmtId="0" fontId="0" fillId="0" borderId="2" xfId="0" applyFill="1" applyBorder="1" applyAlignment="1">
      <alignment vertical="center"/>
    </xf>
    <xf numFmtId="0" fontId="4" fillId="0" borderId="2" xfId="0" applyFont="1" applyBorder="1" applyAlignment="1">
      <alignment wrapText="1"/>
    </xf>
    <xf numFmtId="3" fontId="4" fillId="0" borderId="0" xfId="0" applyNumberFormat="1" applyFont="1" applyBorder="1"/>
    <xf numFmtId="164" fontId="4" fillId="0" borderId="0" xfId="0" applyNumberFormat="1" applyFont="1" applyBorder="1"/>
    <xf numFmtId="164" fontId="4" fillId="0" borderId="0" xfId="0" applyNumberFormat="1" applyFont="1" applyFill="1" applyBorder="1"/>
    <xf numFmtId="166" fontId="0" fillId="0" borderId="0" xfId="0" applyNumberFormat="1"/>
    <xf numFmtId="166" fontId="0" fillId="0" borderId="0" xfId="1" applyNumberFormat="1" applyFont="1" applyFill="1" applyBorder="1" applyAlignment="1">
      <alignment horizontal="center" wrapText="1"/>
    </xf>
    <xf numFmtId="43" fontId="0" fillId="0" borderId="0" xfId="0" applyNumberFormat="1" applyFill="1"/>
    <xf numFmtId="43" fontId="0" fillId="0" borderId="17" xfId="1" applyFont="1" applyFill="1" applyBorder="1" applyAlignment="1">
      <alignment horizontal="center" wrapText="1"/>
    </xf>
    <xf numFmtId="43" fontId="0" fillId="0" borderId="18" xfId="1" applyFont="1" applyFill="1" applyBorder="1" applyAlignment="1">
      <alignment horizontal="center" wrapText="1"/>
    </xf>
    <xf numFmtId="3" fontId="4" fillId="0" borderId="19" xfId="0" applyNumberFormat="1" applyFont="1" applyFill="1" applyBorder="1"/>
    <xf numFmtId="3" fontId="4" fillId="0" borderId="20" xfId="0" applyNumberFormat="1" applyFont="1" applyFill="1" applyBorder="1"/>
    <xf numFmtId="43" fontId="0" fillId="0" borderId="20" xfId="1" applyFont="1" applyFill="1" applyBorder="1" applyAlignment="1">
      <alignment horizontal="center" wrapText="1"/>
    </xf>
    <xf numFmtId="43" fontId="4" fillId="0" borderId="19" xfId="1" applyFont="1" applyBorder="1" applyAlignment="1">
      <alignment horizontal="center" wrapText="1"/>
    </xf>
    <xf numFmtId="166" fontId="4" fillId="0" borderId="19" xfId="0" applyNumberFormat="1" applyFont="1" applyBorder="1"/>
    <xf numFmtId="3" fontId="4" fillId="0" borderId="16" xfId="0" applyNumberFormat="1" applyFont="1" applyBorder="1"/>
    <xf numFmtId="0" fontId="0" fillId="0" borderId="3" xfId="0" applyFill="1" applyBorder="1" applyAlignment="1">
      <alignment horizontal="center" vertical="center"/>
    </xf>
    <xf numFmtId="0" fontId="0" fillId="0" borderId="3" xfId="0" applyFill="1" applyBorder="1" applyAlignment="1">
      <alignment vertical="center"/>
    </xf>
    <xf numFmtId="0" fontId="3" fillId="0" borderId="3" xfId="4" applyFont="1" applyFill="1" applyBorder="1" applyAlignment="1">
      <alignment horizontal="left"/>
    </xf>
    <xf numFmtId="0" fontId="0" fillId="0" borderId="3" xfId="0" applyBorder="1" applyAlignment="1">
      <alignment wrapText="1"/>
    </xf>
    <xf numFmtId="43" fontId="0" fillId="0" borderId="3" xfId="1" applyFont="1" applyBorder="1" applyAlignment="1">
      <alignment wrapText="1"/>
    </xf>
    <xf numFmtId="43" fontId="0" fillId="0" borderId="3" xfId="1" applyFont="1" applyBorder="1" applyAlignment="1">
      <alignment horizontal="center" wrapText="1"/>
    </xf>
    <xf numFmtId="43" fontId="0" fillId="0" borderId="17" xfId="0" applyNumberFormat="1" applyFill="1" applyBorder="1"/>
    <xf numFmtId="43" fontId="0" fillId="0" borderId="18" xfId="0" applyNumberFormat="1" applyFill="1" applyBorder="1"/>
    <xf numFmtId="44" fontId="31" fillId="0" borderId="1" xfId="6" applyNumberFormat="1" applyFont="1" applyFill="1" applyBorder="1"/>
    <xf numFmtId="164" fontId="0" fillId="0" borderId="1" xfId="0" applyNumberFormat="1" applyFill="1" applyBorder="1"/>
    <xf numFmtId="166" fontId="0" fillId="0" borderId="18" xfId="1" applyNumberFormat="1" applyFont="1" applyFill="1" applyBorder="1" applyAlignment="1">
      <alignment horizontal="center" wrapText="1"/>
    </xf>
    <xf numFmtId="0" fontId="31" fillId="17" borderId="0" xfId="4" applyFont="1" applyFill="1" applyBorder="1" applyAlignment="1">
      <alignment horizontal="left"/>
    </xf>
    <xf numFmtId="3" fontId="32" fillId="17" borderId="0" xfId="105" applyNumberFormat="1" applyFont="1" applyFill="1" applyBorder="1"/>
    <xf numFmtId="43" fontId="31" fillId="17" borderId="0" xfId="36" applyFont="1" applyFill="1" applyBorder="1"/>
    <xf numFmtId="166" fontId="0" fillId="17" borderId="0" xfId="0" applyNumberFormat="1" applyFill="1" applyBorder="1"/>
    <xf numFmtId="43" fontId="0" fillId="17" borderId="0" xfId="0" applyNumberFormat="1" applyFill="1" applyBorder="1"/>
    <xf numFmtId="43" fontId="0" fillId="17" borderId="18" xfId="1" applyFont="1" applyFill="1" applyBorder="1" applyAlignment="1">
      <alignment horizontal="center" wrapText="1"/>
    </xf>
    <xf numFmtId="44" fontId="0" fillId="17" borderId="0" xfId="1" applyNumberFormat="1" applyFont="1" applyFill="1" applyBorder="1"/>
    <xf numFmtId="44" fontId="0" fillId="17" borderId="0" xfId="2" applyNumberFormat="1" applyFont="1" applyFill="1" applyBorder="1"/>
    <xf numFmtId="44" fontId="31" fillId="17" borderId="0" xfId="36" applyNumberFormat="1" applyFont="1" applyFill="1" applyBorder="1"/>
    <xf numFmtId="44" fontId="31" fillId="17" borderId="0" xfId="6" applyNumberFormat="1" applyFont="1" applyFill="1" applyBorder="1"/>
    <xf numFmtId="164" fontId="0" fillId="17" borderId="0" xfId="1" applyNumberFormat="1" applyFont="1" applyFill="1" applyBorder="1"/>
    <xf numFmtId="164" fontId="0" fillId="17" borderId="0" xfId="0" applyNumberFormat="1" applyFill="1" applyBorder="1"/>
    <xf numFmtId="166" fontId="0" fillId="17" borderId="18" xfId="1" applyNumberFormat="1" applyFont="1" applyFill="1" applyBorder="1" applyAlignment="1">
      <alignment horizontal="center" wrapText="1"/>
    </xf>
    <xf numFmtId="43" fontId="0" fillId="17" borderId="0" xfId="0" applyNumberFormat="1" applyFill="1"/>
    <xf numFmtId="166" fontId="4" fillId="0" borderId="20" xfId="1" applyNumberFormat="1" applyFont="1" applyFill="1" applyBorder="1"/>
    <xf numFmtId="166" fontId="4" fillId="0" borderId="19" xfId="1" applyNumberFormat="1" applyFont="1" applyBorder="1"/>
    <xf numFmtId="166" fontId="4" fillId="0" borderId="16" xfId="1" applyNumberFormat="1" applyFont="1" applyBorder="1"/>
    <xf numFmtId="166" fontId="0" fillId="0" borderId="3" xfId="1" applyNumberFormat="1" applyFont="1" applyFill="1" applyBorder="1"/>
    <xf numFmtId="166" fontId="0" fillId="0" borderId="17" xfId="1" applyNumberFormat="1" applyFont="1" applyFill="1" applyBorder="1" applyAlignment="1">
      <alignment horizontal="center" wrapText="1"/>
    </xf>
    <xf numFmtId="166" fontId="0" fillId="0" borderId="3" xfId="1" applyNumberFormat="1" applyFont="1" applyFill="1" applyBorder="1" applyAlignment="1">
      <alignment horizontal="center" wrapText="1"/>
    </xf>
    <xf numFmtId="166" fontId="0" fillId="0" borderId="20" xfId="1" applyNumberFormat="1" applyFont="1" applyFill="1" applyBorder="1" applyAlignment="1">
      <alignment horizontal="center" wrapText="1"/>
    </xf>
    <xf numFmtId="166" fontId="0" fillId="0" borderId="1" xfId="1" applyNumberFormat="1" applyFont="1" applyFill="1" applyBorder="1" applyAlignment="1">
      <alignment horizontal="center" wrapText="1"/>
    </xf>
    <xf numFmtId="166" fontId="4" fillId="0" borderId="2" xfId="1" applyNumberFormat="1" applyFont="1" applyBorder="1" applyAlignment="1">
      <alignment horizontal="center" wrapText="1"/>
    </xf>
    <xf numFmtId="166" fontId="4" fillId="0" borderId="19" xfId="1" applyNumberFormat="1" applyFont="1" applyBorder="1" applyAlignment="1">
      <alignment horizontal="center" wrapText="1"/>
    </xf>
    <xf numFmtId="43" fontId="0" fillId="0" borderId="1" xfId="0" applyNumberFormat="1" applyBorder="1"/>
    <xf numFmtId="0" fontId="0" fillId="0" borderId="0" xfId="0" applyAlignment="1">
      <alignment horizontal="center"/>
    </xf>
    <xf numFmtId="0" fontId="0" fillId="0" borderId="0" xfId="0" applyFill="1" applyBorder="1" applyAlignment="1">
      <alignment horizontal="center" vertical="center" textRotation="90"/>
    </xf>
    <xf numFmtId="0" fontId="0" fillId="0" borderId="1" xfId="0" applyFill="1" applyBorder="1" applyAlignment="1">
      <alignment horizontal="center" vertical="center" textRotation="90"/>
    </xf>
    <xf numFmtId="0" fontId="0" fillId="0" borderId="3" xfId="0" applyFill="1" applyBorder="1" applyAlignment="1">
      <alignment horizontal="center" vertical="center" textRotation="90"/>
    </xf>
    <xf numFmtId="0" fontId="0" fillId="0" borderId="21" xfId="0" applyFill="1" applyBorder="1" applyAlignment="1">
      <alignment horizontal="center" vertical="center" textRotation="90"/>
    </xf>
    <xf numFmtId="0" fontId="0" fillId="0" borderId="22" xfId="0" applyFill="1" applyBorder="1" applyAlignment="1">
      <alignment horizontal="center" vertical="center" textRotation="90"/>
    </xf>
    <xf numFmtId="0" fontId="0" fillId="0" borderId="23" xfId="0" applyFill="1" applyBorder="1" applyAlignment="1">
      <alignment horizontal="center" vertical="center" textRotation="90"/>
    </xf>
    <xf numFmtId="0" fontId="0" fillId="0" borderId="13" xfId="0" applyFill="1" applyBorder="1" applyAlignment="1">
      <alignment horizontal="center" vertical="center" textRotation="90"/>
    </xf>
    <xf numFmtId="0" fontId="0" fillId="0" borderId="14" xfId="0" applyFill="1" applyBorder="1" applyAlignment="1">
      <alignment horizontal="center" vertical="center" textRotation="90"/>
    </xf>
    <xf numFmtId="0" fontId="0" fillId="0" borderId="15" xfId="0" applyFill="1" applyBorder="1" applyAlignment="1">
      <alignment horizontal="center" vertical="center" textRotation="90"/>
    </xf>
  </cellXfs>
  <cellStyles count="130">
    <cellStyle name="20% - Accent1 2" xfId="7"/>
    <cellStyle name="20% - Accent4 2" xfId="8"/>
    <cellStyle name="40% - Accent1 2" xfId="9"/>
    <cellStyle name="40% - Accent4 2" xfId="10"/>
    <cellStyle name="40% - Accent5 2" xfId="11"/>
    <cellStyle name="40% - Accent6 2" xfId="12"/>
    <cellStyle name="60% - Accent1 2" xfId="13"/>
    <cellStyle name="60% - Accent2 2" xfId="14"/>
    <cellStyle name="60% - Accent3 2" xfId="15"/>
    <cellStyle name="60% - Accent4 2" xfId="16"/>
    <cellStyle name="60% - Accent5 2" xfId="17"/>
    <cellStyle name="Accent1 2" xfId="18"/>
    <cellStyle name="Accent2 2" xfId="19"/>
    <cellStyle name="Accent3 2" xfId="20"/>
    <cellStyle name="Accent6 2" xfId="21"/>
    <cellStyle name="Accounting" xfId="22"/>
    <cellStyle name="Bad 2" xfId="23"/>
    <cellStyle name="Budget" xfId="24"/>
    <cellStyle name="Calculation 2" xfId="25"/>
    <cellStyle name="Comma" xfId="1" builtinId="3"/>
    <cellStyle name="Comma 10" xfId="26"/>
    <cellStyle name="Comma 11" xfId="27"/>
    <cellStyle name="Comma 12" xfId="28"/>
    <cellStyle name="Comma 13" xfId="29"/>
    <cellStyle name="Comma 14" xfId="30"/>
    <cellStyle name="Comma 15" xfId="31"/>
    <cellStyle name="Comma 16" xfId="32"/>
    <cellStyle name="Comma 17" xfId="33"/>
    <cellStyle name="Comma 2" xfId="5"/>
    <cellStyle name="Comma 2 2" xfId="34"/>
    <cellStyle name="Comma 2 3" xfId="35"/>
    <cellStyle name="Comma 3" xfId="36"/>
    <cellStyle name="Comma 3 2" xfId="37"/>
    <cellStyle name="Comma 3 2 2" xfId="38"/>
    <cellStyle name="Comma 3 3" xfId="39"/>
    <cellStyle name="Comma 4" xfId="40"/>
    <cellStyle name="Comma 4 2" xfId="41"/>
    <cellStyle name="Comma 4 3" xfId="42"/>
    <cellStyle name="Comma 4 4" xfId="43"/>
    <cellStyle name="Comma 4 5" xfId="44"/>
    <cellStyle name="Comma 5" xfId="45"/>
    <cellStyle name="Comma 6" xfId="46"/>
    <cellStyle name="Comma 7" xfId="47"/>
    <cellStyle name="Comma 8" xfId="48"/>
    <cellStyle name="Comma 9" xfId="49"/>
    <cellStyle name="Comma(2)" xfId="50"/>
    <cellStyle name="Comma0 - Style2" xfId="51"/>
    <cellStyle name="Comma1 - Style1" xfId="52"/>
    <cellStyle name="Comments" xfId="53"/>
    <cellStyle name="Currency" xfId="2" builtinId="4"/>
    <cellStyle name="Currency 2" xfId="6"/>
    <cellStyle name="Currency 2 2" xfId="54"/>
    <cellStyle name="Currency 2 6" xfId="129"/>
    <cellStyle name="Currency 3" xfId="55"/>
    <cellStyle name="Currency 4" xfId="56"/>
    <cellStyle name="Currency 5" xfId="57"/>
    <cellStyle name="Currency 6" xfId="58"/>
    <cellStyle name="Currency 7" xfId="59"/>
    <cellStyle name="Currency 9" xfId="60"/>
    <cellStyle name="Data Enter" xfId="61"/>
    <cellStyle name="FactSheet" xfId="62"/>
    <cellStyle name="Good 2" xfId="63"/>
    <cellStyle name="Heading 1 2" xfId="64"/>
    <cellStyle name="Heading 2 2" xfId="65"/>
    <cellStyle name="Heading 3 2" xfId="66"/>
    <cellStyle name="Hyperlink 2" xfId="67"/>
    <cellStyle name="Hyperlink 3" xfId="68"/>
    <cellStyle name="input(0)" xfId="69"/>
    <cellStyle name="Input(2)" xfId="70"/>
    <cellStyle name="Linked Cell 2" xfId="71"/>
    <cellStyle name="Neutral 2" xfId="72"/>
    <cellStyle name="New_normal" xfId="73"/>
    <cellStyle name="Normal" xfId="0" builtinId="0"/>
    <cellStyle name="Normal - Style1" xfId="74"/>
    <cellStyle name="Normal - Style2" xfId="75"/>
    <cellStyle name="Normal - Style3" xfId="76"/>
    <cellStyle name="Normal - Style4" xfId="77"/>
    <cellStyle name="Normal - Style5" xfId="78"/>
    <cellStyle name="Normal 10" xfId="79"/>
    <cellStyle name="Normal 10 2" xfId="80"/>
    <cellStyle name="Normal 11" xfId="81"/>
    <cellStyle name="Normal 12" xfId="82"/>
    <cellStyle name="Normal 13" xfId="83"/>
    <cellStyle name="Normal 14" xfId="84"/>
    <cellStyle name="Normal 15" xfId="85"/>
    <cellStyle name="Normal 16" xfId="86"/>
    <cellStyle name="Normal 17" xfId="87"/>
    <cellStyle name="Normal 18" xfId="88"/>
    <cellStyle name="Normal 19" xfId="89"/>
    <cellStyle name="Normal 2" xfId="90"/>
    <cellStyle name="Normal 2 2" xfId="91"/>
    <cellStyle name="Normal 2 2 2" xfId="92"/>
    <cellStyle name="Normal 2 2 3" xfId="93"/>
    <cellStyle name="Normal 2 2_IS210PL" xfId="94"/>
    <cellStyle name="Normal 2 3" xfId="95"/>
    <cellStyle name="Normal 2 3 2" xfId="96"/>
    <cellStyle name="Normal 2 3 3" xfId="97"/>
    <cellStyle name="Normal 2 4" xfId="98"/>
    <cellStyle name="Normal 2 5" xfId="99"/>
    <cellStyle name="Normal 2_2180 Payroll Schedule 8-22-2011" xfId="100"/>
    <cellStyle name="Normal 20" xfId="101"/>
    <cellStyle name="Normal 3" xfId="102"/>
    <cellStyle name="Normal 3 2" xfId="103"/>
    <cellStyle name="Normal 3_2149 Depr 9-30-12" xfId="104"/>
    <cellStyle name="Normal 4" xfId="105"/>
    <cellStyle name="Normal 5" xfId="106"/>
    <cellStyle name="Normal 5 2" xfId="107"/>
    <cellStyle name="Normal 5_2183 UTC Depreciation 3 31 2012 Heather 6-6-2012" xfId="108"/>
    <cellStyle name="Normal 6" xfId="109"/>
    <cellStyle name="Normal 7" xfId="110"/>
    <cellStyle name="Normal 8" xfId="111"/>
    <cellStyle name="Normal 9" xfId="112"/>
    <cellStyle name="Normal_Price out" xfId="4"/>
    <cellStyle name="Note 2" xfId="113"/>
    <cellStyle name="Notes" xfId="114"/>
    <cellStyle name="Percent" xfId="3" builtinId="5"/>
    <cellStyle name="Percent 2" xfId="115"/>
    <cellStyle name="Percent 2 2" xfId="116"/>
    <cellStyle name="Percent 3" xfId="117"/>
    <cellStyle name="Percent 4" xfId="118"/>
    <cellStyle name="Percent 4 2" xfId="119"/>
    <cellStyle name="Percent 7" xfId="120"/>
    <cellStyle name="Percent(1)" xfId="121"/>
    <cellStyle name="Percent(2)" xfId="122"/>
    <cellStyle name="PRM" xfId="123"/>
    <cellStyle name="PSChar" xfId="124"/>
    <cellStyle name="PSHeading" xfId="125"/>
    <cellStyle name="Style 1" xfId="126"/>
    <cellStyle name="STYLE1" xfId="127"/>
    <cellStyle name="Total 2" xfId="1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theme" Target="theme/theme1.xml"/><Relationship Id="rId10" Type="http://schemas.openxmlformats.org/officeDocument/2006/relationships/externalLink" Target="externalLinks/externalLink7.xml"/><Relationship Id="rId19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customXml" Target="../customXml/item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_db5_srv\SRC\User\REPORTS\STANDARD%20REPORTS\CUSTOM%20REPORTS\PL_RollingTrend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SRC%20Reports/SRC%20Format/Bonus%20Schedule/PNWR%20SRC%20Bonus%20Schedule%20200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3/ProForma%20Pacific%20Disposal_Staff%20Final%20outcome%208-201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WCNX%20Stuff/Excel/Financials/Excel%20Financials/ExcelFinancial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Vashon/Rate%20Incr%201-1-2012/Vashon%20Pro%20Forma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acinf06\sacshare\Data_Automation\DMS\RouteManagerReports\RM_MM001_Query_v4c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Annual%20Reports/2180%20LeMay/2009/LeMay%20Annual%20Report%20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LeMay/Master%20Truck%20Schedule/South_LeMay%20Master%20Truck%20Schedule-Shared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celFinancials_v3c1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IA27QKC6/Company%20Disposal%20Fee%20worksheet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AppData/Local/Microsoft/Windows/Temporary%20Internet%20Files/Content.Outlook/IA27QKC6/Cando%20PFIS%20MY%209-7-18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>
        <row r="5">
          <cell r="D5">
            <v>10.71</v>
          </cell>
        </row>
        <row r="14">
          <cell r="C14" t="str">
            <v>dist</v>
          </cell>
          <cell r="E14" t="str">
            <v>=</v>
          </cell>
          <cell r="F14">
            <v>2149</v>
          </cell>
        </row>
      </sheetData>
      <sheetData sheetId="4" refreshError="1">
        <row r="6">
          <cell r="F6" t="str">
            <v>Time Series</v>
          </cell>
        </row>
        <row r="17">
          <cell r="B17" t="str">
            <v>ACCT</v>
          </cell>
          <cell r="C17" t="str">
            <v>-</v>
          </cell>
        </row>
        <row r="22">
          <cell r="C22" t="str">
            <v>Financial</v>
          </cell>
        </row>
        <row r="23">
          <cell r="C23" t="str">
            <v>ALL</v>
          </cell>
        </row>
        <row r="24">
          <cell r="C24" t="str">
            <v>Variable</v>
          </cell>
        </row>
      </sheetData>
      <sheetData sheetId="5" refreshError="1">
        <row r="8">
          <cell r="E8" t="str">
            <v>Report</v>
          </cell>
        </row>
        <row r="12">
          <cell r="B12" t="b">
            <v>0</v>
          </cell>
        </row>
      </sheetData>
      <sheetData sheetId="6" refreshError="1"/>
      <sheetData sheetId="7" refreshError="1">
        <row r="11">
          <cell r="D11">
            <v>10002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 t="str">
            <v>Cash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Report"/>
      <sheetName val="Instructions"/>
      <sheetName val="User"/>
      <sheetName val="Settings"/>
      <sheetName val="Orientation"/>
      <sheetName val="Delivery"/>
      <sheetName val="RptClose"/>
      <sheetName val="Hidd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lass A IS"/>
      <sheetName val="2183 IS"/>
      <sheetName val="2184 IS"/>
      <sheetName val="2185 IS"/>
      <sheetName val="Consolidated IS"/>
      <sheetName val="Ratios Thurston"/>
      <sheetName val="2183 Pro forma"/>
      <sheetName val="2183 Ratios"/>
      <sheetName val="Restating Expl"/>
      <sheetName val="Pro forma Expl"/>
      <sheetName val="Pacific Regulated - Price Out"/>
      <sheetName val="Total Matrix"/>
      <sheetName val="Packer_RO Matrix"/>
      <sheetName val="COS Packer_RO"/>
      <sheetName val="Res YW Matix"/>
      <sheetName val="Res Recy Matrix"/>
      <sheetName val="MF Recy Matrix"/>
      <sheetName val="COS RR YW MFR"/>
      <sheetName val="Total Pac,Rural"/>
      <sheetName val="Rural"/>
      <sheetName val="LG-Pacific Pckr Rts"/>
      <sheetName val="LG-RO"/>
      <sheetName val="Res Recycl"/>
      <sheetName val="MF Recycl"/>
      <sheetName val="YW"/>
      <sheetName val="Depr Summary 2183"/>
      <sheetName val="Trucks 2183"/>
      <sheetName val="Containers 2183"/>
      <sheetName val="OTHER EQUIP 2183"/>
      <sheetName val="LeMay Global"/>
      <sheetName val="Fuel"/>
      <sheetName val="DF Schedule"/>
      <sheetName val="2183 Payroll"/>
      <sheetName val="2184 Payroll"/>
      <sheetName val="2185 Payroll"/>
      <sheetName val="Cust Cnt"/>
      <sheetName val="Unit Cnt"/>
      <sheetName val="70148 Summary"/>
      <sheetName val="Time Study"/>
      <sheetName val="Corp O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>
        <row r="49">
          <cell r="M49">
            <v>8000432.4617248299</v>
          </cell>
        </row>
        <row r="50">
          <cell r="F50">
            <v>8158680.0299999993</v>
          </cell>
        </row>
        <row r="58">
          <cell r="M58">
            <v>2625393.5068796892</v>
          </cell>
        </row>
        <row r="59">
          <cell r="F59">
            <v>2119461.4499999997</v>
          </cell>
        </row>
        <row r="69">
          <cell r="M69">
            <v>1361744.4391882615</v>
          </cell>
        </row>
        <row r="70">
          <cell r="F70">
            <v>1347163.92</v>
          </cell>
        </row>
        <row r="213">
          <cell r="M213">
            <v>4757117.5866496488</v>
          </cell>
        </row>
        <row r="214">
          <cell r="F214">
            <v>4859462.2200000007</v>
          </cell>
        </row>
        <row r="221">
          <cell r="M221">
            <v>395543.82663328515</v>
          </cell>
        </row>
        <row r="222">
          <cell r="F222">
            <v>332798.89999999997</v>
          </cell>
        </row>
        <row r="281">
          <cell r="M281">
            <v>1187221.5155152699</v>
          </cell>
        </row>
        <row r="282">
          <cell r="F282">
            <v>744277.47999999975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PL_ActReview"/>
      <sheetName val="BS_Close"/>
      <sheetName val="PL_ActTranx"/>
      <sheetName val="JE_Review"/>
      <sheetName val="PL_CloseByDay"/>
      <sheetName val="PL_IS200"/>
      <sheetName val="PL_IS210"/>
      <sheetName val="PL_ActByDistrict"/>
      <sheetName val="PL_ProjReview"/>
    </sheetNames>
    <sheetDataSet>
      <sheetData sheetId="0"/>
      <sheetData sheetId="1">
        <row r="2">
          <cell r="X2" t="str">
            <v>P&amp;L Close Report</v>
          </cell>
          <cell r="Z2" t="str">
            <v>Consolidated</v>
          </cell>
        </row>
        <row r="3">
          <cell r="X3" t="str">
            <v>BS Close Report</v>
          </cell>
          <cell r="Z3" t="str">
            <v>Region</v>
          </cell>
        </row>
        <row r="4">
          <cell r="X4" t="str">
            <v>P&amp;L Tranx Report</v>
          </cell>
          <cell r="Z4" t="str">
            <v>District</v>
          </cell>
        </row>
        <row r="5">
          <cell r="X5" t="str">
            <v>P&amp;L Close by Day</v>
          </cell>
          <cell r="Z5" t="str">
            <v>Multiple Districts</v>
          </cell>
        </row>
        <row r="6">
          <cell r="X6" t="str">
            <v>JE Review Report</v>
          </cell>
        </row>
        <row r="7">
          <cell r="X7" t="str">
            <v>IS200 Report</v>
          </cell>
        </row>
        <row r="8">
          <cell r="X8" t="str">
            <v>IS210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lass A, IS "/>
      <sheetName val="Vashon BS"/>
      <sheetName val="Vashon IS"/>
      <sheetName val="Consolidated IS"/>
      <sheetName val="Restating Adj"/>
      <sheetName val="Prof Adj"/>
      <sheetName val="Price-out"/>
      <sheetName val="LG-Total Comp"/>
      <sheetName val="LG-Packer Rts"/>
      <sheetName val="LG-RO Rts"/>
      <sheetName val="LG-Recycl"/>
      <sheetName val="DF Schedule"/>
      <sheetName val="Depr-Summary"/>
      <sheetName val="2132 Trks"/>
      <sheetName val="2132 Cont, DB"/>
      <sheetName val="2132 Oth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MM001Tranx"/>
      <sheetName val="JEexport"/>
      <sheetName val="Intro Memo"/>
      <sheetName val="JE_Summary"/>
      <sheetName val="Mth00"/>
      <sheetName val="Mth01"/>
      <sheetName val="Mth02"/>
      <sheetName val="Mth03"/>
      <sheetName val="Mth04"/>
      <sheetName val="Mth05"/>
      <sheetName val="Mth06"/>
      <sheetName val="Mth07"/>
      <sheetName val="Mth08"/>
      <sheetName val="Mth09"/>
      <sheetName val="Mth10"/>
      <sheetName val="Mth11"/>
      <sheetName val="Mth12"/>
      <sheetName val="TEST"/>
      <sheetName val="To Do"/>
      <sheetName val="GLMapping"/>
      <sheetName val="BatchLog"/>
      <sheetName val="Reference"/>
    </sheetNames>
    <sheetDataSet>
      <sheetData sheetId="0"/>
      <sheetData sheetId="1" refreshError="1">
        <row r="9">
          <cell r="L9">
            <v>11501</v>
          </cell>
        </row>
        <row r="10">
          <cell r="L10" t="str">
            <v>11501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ClassA, Certification"/>
      <sheetName val="OrgControl"/>
      <sheetName val="InsuranceAccident"/>
      <sheetName val="bsasset"/>
      <sheetName val="bsliab"/>
      <sheetName val="FixedAssets"/>
      <sheetName val="RetainedEarnings"/>
      <sheetName val="Income Statement"/>
      <sheetName val="RevenuesCust"/>
      <sheetName val="Recycle"/>
      <sheetName val="contracts"/>
      <sheetName val="GarbageDisp"/>
      <sheetName val="RecycleProcessing"/>
      <sheetName val="Payroll"/>
      <sheetName val="FeeCal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Master Truck Schedule"/>
      <sheetName val="Jun 2011 FAR"/>
      <sheetName val="Scrap List"/>
      <sheetName val="Sheet1"/>
      <sheetName val="Sheet2"/>
      <sheetName val="Sheet3"/>
      <sheetName val="Sheet4"/>
      <sheetName val="Feb'12 FAR Data"/>
      <sheetName val="Sheet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ErrorNote"/>
      <sheetName val="ControlPanel"/>
      <sheetName val="4MthProj1"/>
      <sheetName val="4MthProj2"/>
      <sheetName val="PL_ActReview"/>
      <sheetName val="PL_ActReview2"/>
      <sheetName val="BS_Close"/>
      <sheetName val="IS200PL"/>
      <sheetName val="PL_ActTranx"/>
      <sheetName val="IS210PL"/>
      <sheetName val="ProjRevCheck"/>
      <sheetName val="BDebtCheck"/>
      <sheetName val="52901Check"/>
      <sheetName val="ICCheck"/>
      <sheetName val="BSCheck"/>
      <sheetName val="BadJECheck"/>
      <sheetName val="JE_Review"/>
      <sheetName val="Proj1"/>
      <sheetName val="Proj2"/>
    </sheetNames>
    <sheetDataSet>
      <sheetData sheetId="0"/>
      <sheetData sheetId="1">
        <row r="2">
          <cell r="S2" t="str">
            <v>P&amp;L Close Report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Notes"/>
      <sheetName val="References"/>
      <sheetName val="Calculations"/>
    </sheetNames>
    <sheetDataSet>
      <sheetData sheetId="0" refreshError="1"/>
      <sheetData sheetId="1" refreshError="1">
        <row r="6">
          <cell r="D6">
            <v>8.6666666666666661</v>
          </cell>
        </row>
        <row r="7">
          <cell r="D7">
            <v>4.333333333333333</v>
          </cell>
          <cell r="G7">
            <v>17.333333333333332</v>
          </cell>
        </row>
        <row r="8">
          <cell r="D8">
            <v>2.1666666666666665</v>
          </cell>
        </row>
        <row r="9">
          <cell r="D9">
            <v>1</v>
          </cell>
        </row>
        <row r="28">
          <cell r="E28">
            <v>0.01</v>
          </cell>
        </row>
      </sheetData>
      <sheetData sheetId="2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Income Statement"/>
      <sheetName val="Garbage Adj."/>
      <sheetName val="Recycling Adj."/>
      <sheetName val="Current Garbage LG 2018"/>
      <sheetName val="Garbage LG 2019 "/>
      <sheetName val="Current Recycling LG 2018"/>
      <sheetName val="Recycling LG 2019"/>
      <sheetName val="Current Price out"/>
      <sheetName val="Projected price out"/>
      <sheetName val="Assets"/>
      <sheetName val="Cando 2019"/>
      <sheetName val="Total Hrs"/>
      <sheetName val="Drive Hours Recap"/>
      <sheetName val="Tonnage"/>
      <sheetName val="Instructions"/>
      <sheetName val="Jan DH"/>
      <sheetName val="Feb DH"/>
      <sheetName val="MarDH"/>
      <sheetName val="AprDH"/>
      <sheetName val="MayDH"/>
      <sheetName val="JuneDH"/>
      <sheetName val="JulyDH"/>
      <sheetName val="AugDH"/>
      <sheetName val="SeptDH"/>
      <sheetName val="OctDH"/>
      <sheetName val="NovDH"/>
      <sheetName val="DecDH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4">
          <cell r="E14">
            <v>1859.92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C27"/>
  <sheetViews>
    <sheetView workbookViewId="0">
      <selection activeCell="B28" sqref="B28"/>
    </sheetView>
  </sheetViews>
  <sheetFormatPr defaultRowHeight="15"/>
  <sheetData>
    <row r="2" spans="1:3">
      <c r="A2" s="90" t="s">
        <v>58</v>
      </c>
    </row>
    <row r="4" spans="1:3">
      <c r="B4" t="s">
        <v>59</v>
      </c>
    </row>
    <row r="5" spans="1:3">
      <c r="C5" t="s">
        <v>70</v>
      </c>
    </row>
    <row r="6" spans="1:3">
      <c r="C6" t="s">
        <v>60</v>
      </c>
    </row>
    <row r="7" spans="1:3" s="20" customFormat="1">
      <c r="C7" s="20" t="s">
        <v>71</v>
      </c>
    </row>
    <row r="8" spans="1:3" s="20" customFormat="1"/>
    <row r="9" spans="1:3" s="20" customFormat="1">
      <c r="B9" s="20" t="s">
        <v>74</v>
      </c>
    </row>
    <row r="10" spans="1:3" s="20" customFormat="1">
      <c r="C10" s="20" t="s">
        <v>75</v>
      </c>
    </row>
    <row r="11" spans="1:3" s="20" customFormat="1"/>
    <row r="12" spans="1:3">
      <c r="B12" t="s">
        <v>76</v>
      </c>
    </row>
    <row r="13" spans="1:3" s="20" customFormat="1">
      <c r="C13" s="20" t="s">
        <v>72</v>
      </c>
    </row>
    <row r="14" spans="1:3" s="20" customFormat="1">
      <c r="C14" s="20" t="s">
        <v>77</v>
      </c>
    </row>
    <row r="15" spans="1:3">
      <c r="C15" t="s">
        <v>73</v>
      </c>
    </row>
    <row r="17" spans="2:3">
      <c r="B17" t="s">
        <v>63</v>
      </c>
    </row>
    <row r="18" spans="2:3">
      <c r="C18" t="s">
        <v>61</v>
      </c>
    </row>
    <row r="19" spans="2:3">
      <c r="C19" t="s">
        <v>62</v>
      </c>
    </row>
    <row r="21" spans="2:3">
      <c r="B21" t="s">
        <v>65</v>
      </c>
    </row>
    <row r="22" spans="2:3">
      <c r="C22" t="s">
        <v>67</v>
      </c>
    </row>
    <row r="23" spans="2:3">
      <c r="C23" t="s">
        <v>66</v>
      </c>
    </row>
    <row r="24" spans="2:3">
      <c r="C24" t="s">
        <v>68</v>
      </c>
    </row>
    <row r="25" spans="2:3">
      <c r="C25" t="s">
        <v>69</v>
      </c>
    </row>
    <row r="27" spans="2:3">
      <c r="B27" t="s">
        <v>79</v>
      </c>
    </row>
  </sheetData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I29"/>
  <sheetViews>
    <sheetView topLeftCell="A16" workbookViewId="0">
      <selection activeCell="B23" sqref="B23"/>
    </sheetView>
  </sheetViews>
  <sheetFormatPr defaultRowHeight="15"/>
  <cols>
    <col min="1" max="1" width="32.7109375" bestFit="1" customWidth="1"/>
    <col min="2" max="2" width="15.5703125" customWidth="1"/>
    <col min="3" max="3" width="9.28515625" bestFit="1" customWidth="1"/>
    <col min="4" max="4" width="5.7109375" bestFit="1" customWidth="1"/>
    <col min="5" max="5" width="10.85546875" customWidth="1"/>
    <col min="6" max="6" width="9" bestFit="1" customWidth="1"/>
  </cols>
  <sheetData>
    <row r="1" spans="1:9" s="20" customFormat="1">
      <c r="A1" s="45" t="s">
        <v>80</v>
      </c>
    </row>
    <row r="2" spans="1:9" s="20" customFormat="1">
      <c r="A2" s="45"/>
    </row>
    <row r="3" spans="1:9" s="20" customFormat="1">
      <c r="A3" s="45"/>
    </row>
    <row r="4" spans="1:9" s="20" customFormat="1">
      <c r="A4" s="45"/>
      <c r="D4" s="173" t="s">
        <v>18</v>
      </c>
      <c r="E4" s="173"/>
      <c r="F4" s="173"/>
      <c r="G4" s="173"/>
    </row>
    <row r="5" spans="1:9" s="20" customFormat="1">
      <c r="D5" s="83" t="s">
        <v>46</v>
      </c>
      <c r="E5" s="83" t="s">
        <v>47</v>
      </c>
      <c r="F5" s="83" t="s">
        <v>48</v>
      </c>
      <c r="G5" s="86" t="s">
        <v>52</v>
      </c>
    </row>
    <row r="6" spans="1:9" s="20" customFormat="1">
      <c r="A6" s="79" t="s">
        <v>45</v>
      </c>
      <c r="D6" s="87">
        <f>52*2/12</f>
        <v>8.6666666666666661</v>
      </c>
      <c r="E6" s="87">
        <f>D6*2</f>
        <v>17.333333333333332</v>
      </c>
      <c r="F6" s="87">
        <f>D6*3</f>
        <v>26</v>
      </c>
      <c r="G6" s="87">
        <f>D6*4</f>
        <v>34.666666666666664</v>
      </c>
    </row>
    <row r="7" spans="1:9">
      <c r="A7" t="s">
        <v>21</v>
      </c>
      <c r="D7" s="87">
        <f>52/12</f>
        <v>4.333333333333333</v>
      </c>
      <c r="E7" s="87">
        <f t="shared" ref="E7:E9" si="0">D7*2</f>
        <v>8.6666666666666661</v>
      </c>
      <c r="F7" s="87">
        <f t="shared" ref="F7:F9" si="1">D7*3</f>
        <v>13</v>
      </c>
      <c r="G7" s="87">
        <f t="shared" ref="G7:G9" si="2">D7*4</f>
        <v>17.333333333333332</v>
      </c>
    </row>
    <row r="8" spans="1:9">
      <c r="A8" t="s">
        <v>23</v>
      </c>
      <c r="D8" s="87">
        <f>26/12</f>
        <v>2.1666666666666665</v>
      </c>
      <c r="E8" s="87">
        <f t="shared" si="0"/>
        <v>4.333333333333333</v>
      </c>
      <c r="F8" s="87">
        <f t="shared" si="1"/>
        <v>6.5</v>
      </c>
      <c r="G8" s="87">
        <f t="shared" si="2"/>
        <v>8.6666666666666661</v>
      </c>
    </row>
    <row r="9" spans="1:9">
      <c r="A9" t="s">
        <v>22</v>
      </c>
      <c r="D9" s="87">
        <f>12/12</f>
        <v>1</v>
      </c>
      <c r="E9" s="87">
        <f t="shared" si="0"/>
        <v>2</v>
      </c>
      <c r="F9" s="87">
        <f t="shared" si="1"/>
        <v>3</v>
      </c>
      <c r="G9" s="87">
        <f t="shared" si="2"/>
        <v>4</v>
      </c>
    </row>
    <row r="11" spans="1:9">
      <c r="A11" t="s">
        <v>19</v>
      </c>
      <c r="B11">
        <v>2000</v>
      </c>
    </row>
    <row r="12" spans="1:9">
      <c r="A12" t="s">
        <v>20</v>
      </c>
      <c r="B12" s="41" t="s">
        <v>49</v>
      </c>
    </row>
    <row r="14" spans="1:9">
      <c r="A14" s="42" t="s">
        <v>53</v>
      </c>
      <c r="B14" s="83" t="s">
        <v>6</v>
      </c>
      <c r="C14" s="1" t="s">
        <v>7</v>
      </c>
      <c r="E14" s="42" t="s">
        <v>26</v>
      </c>
      <c r="F14" s="1"/>
      <c r="I14" s="89"/>
    </row>
    <row r="15" spans="1:9">
      <c r="A15" s="20" t="s">
        <v>54</v>
      </c>
      <c r="B15" s="7">
        <v>110</v>
      </c>
      <c r="C15" s="10">
        <f>B15/2000</f>
        <v>5.5E-2</v>
      </c>
      <c r="E15" t="s">
        <v>27</v>
      </c>
      <c r="F15" s="44">
        <f>0.015</f>
        <v>1.4999999999999999E-2</v>
      </c>
      <c r="I15" s="21"/>
    </row>
    <row r="16" spans="1:9">
      <c r="A16" s="20" t="s">
        <v>55</v>
      </c>
      <c r="B16" s="8">
        <v>125</v>
      </c>
      <c r="C16" s="11">
        <f>B16/2000</f>
        <v>6.25E-2</v>
      </c>
      <c r="E16" t="s">
        <v>28</v>
      </c>
      <c r="F16" s="1">
        <f>0.004275</f>
        <v>4.2750000000000002E-3</v>
      </c>
    </row>
    <row r="17" spans="1:6">
      <c r="A17" s="20" t="s">
        <v>8</v>
      </c>
      <c r="B17" s="7">
        <f>B16-B15</f>
        <v>15</v>
      </c>
      <c r="C17" s="10">
        <f>C16-C15</f>
        <v>7.4999999999999997E-3</v>
      </c>
      <c r="E17" t="s">
        <v>16</v>
      </c>
      <c r="F17">
        <f>SUM(F15:F16)</f>
        <v>1.9275E-2</v>
      </c>
    </row>
    <row r="18" spans="1:6">
      <c r="E18" t="s">
        <v>29</v>
      </c>
      <c r="F18">
        <f>1-F17</f>
        <v>0.98072499999999996</v>
      </c>
    </row>
    <row r="20" spans="1:6">
      <c r="A20" t="s">
        <v>4</v>
      </c>
      <c r="B20" s="43">
        <f>B17</f>
        <v>15</v>
      </c>
      <c r="C20" s="43"/>
      <c r="E20" t="s">
        <v>64</v>
      </c>
    </row>
    <row r="21" spans="1:6">
      <c r="A21" t="s">
        <v>25</v>
      </c>
      <c r="B21" s="43">
        <f>B20/F18</f>
        <v>15.294807412883326</v>
      </c>
    </row>
    <row r="22" spans="1:6">
      <c r="A22" t="s">
        <v>24</v>
      </c>
      <c r="B22" s="1">
        <v>358</v>
      </c>
    </row>
    <row r="23" spans="1:6">
      <c r="A23" s="45" t="s">
        <v>30</v>
      </c>
      <c r="B23" s="84">
        <f>B21*B22</f>
        <v>5475.5410538122305</v>
      </c>
    </row>
    <row r="25" spans="1:6">
      <c r="A25" t="s">
        <v>50</v>
      </c>
      <c r="B25" s="8">
        <f>'Staff calcs '!S40</f>
        <v>-275608.63222713937</v>
      </c>
    </row>
    <row r="26" spans="1:6">
      <c r="A26" s="46" t="s">
        <v>12</v>
      </c>
      <c r="B26" s="43">
        <f>B25-B23</f>
        <v>-281084.17328095163</v>
      </c>
    </row>
    <row r="27" spans="1:6">
      <c r="E27" s="88" t="s">
        <v>57</v>
      </c>
      <c r="F27" s="1"/>
    </row>
    <row r="28" spans="1:6">
      <c r="A28" s="45" t="s">
        <v>51</v>
      </c>
      <c r="B28" s="85">
        <f>'Staff calcs '!U40</f>
        <v>-238369.47992762842</v>
      </c>
      <c r="E28">
        <v>0.01</v>
      </c>
    </row>
    <row r="29" spans="1:6">
      <c r="A29" s="46" t="s">
        <v>12</v>
      </c>
      <c r="B29" s="43">
        <f>B28-B23</f>
        <v>-243845.02098144064</v>
      </c>
      <c r="C29" s="16">
        <f>B29/B23</f>
        <v>-44.533502458477351</v>
      </c>
    </row>
  </sheetData>
  <mergeCells count="1">
    <mergeCell ref="D4:G4"/>
  </mergeCells>
  <pageMargins left="0.28000000000000003" right="0.52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58"/>
  <sheetViews>
    <sheetView tabSelected="1" zoomScaleNormal="100" workbookViewId="0">
      <pane xSplit="4" ySplit="5" topLeftCell="E6" activePane="bottomRight" state="frozen"/>
      <selection pane="topRight" activeCell="D1" sqref="D1"/>
      <selection pane="bottomLeft" activeCell="A6" sqref="A6"/>
      <selection pane="bottomRight" activeCell="Y12" sqref="Y12"/>
    </sheetView>
  </sheetViews>
  <sheetFormatPr defaultColWidth="8.85546875" defaultRowHeight="15"/>
  <cols>
    <col min="1" max="1" width="4.5703125" style="20" bestFit="1" customWidth="1"/>
    <col min="2" max="2" width="4.5703125" style="20" customWidth="1"/>
    <col min="3" max="3" width="5.5703125" style="20" bestFit="1" customWidth="1"/>
    <col min="4" max="4" width="27" style="20" bestFit="1" customWidth="1"/>
    <col min="5" max="5" width="14.140625" style="20" customWidth="1"/>
    <col min="6" max="6" width="10" style="20" customWidth="1"/>
    <col min="7" max="7" width="12" style="20" customWidth="1"/>
    <col min="8" max="8" width="13.42578125" style="20" bestFit="1" customWidth="1"/>
    <col min="9" max="9" width="15.7109375" style="20" bestFit="1" customWidth="1"/>
    <col min="10" max="10" width="14.140625" style="20" bestFit="1" customWidth="1"/>
    <col min="11" max="11" width="12.7109375" style="20" hidden="1" customWidth="1"/>
    <col min="12" max="12" width="12.42578125" style="20" hidden="1" customWidth="1"/>
    <col min="13" max="13" width="7.85546875" style="20" hidden="1" customWidth="1"/>
    <col min="14" max="14" width="8.7109375" style="20" hidden="1" customWidth="1"/>
    <col min="15" max="15" width="13" style="20" hidden="1" customWidth="1"/>
    <col min="16" max="16" width="12.140625" style="20" hidden="1" customWidth="1"/>
    <col min="17" max="17" width="11.7109375" style="20" hidden="1" customWidth="1"/>
    <col min="18" max="18" width="9.85546875" style="20" hidden="1" customWidth="1"/>
    <col min="19" max="19" width="14.28515625" style="20" hidden="1" customWidth="1"/>
    <col min="20" max="20" width="15" style="20" hidden="1" customWidth="1"/>
    <col min="21" max="21" width="8.85546875" style="20" hidden="1" customWidth="1"/>
    <col min="22" max="22" width="12.28515625" style="20" customWidth="1"/>
    <col min="23" max="23" width="9.140625" style="20" bestFit="1" customWidth="1"/>
    <col min="24" max="16384" width="8.85546875" style="20"/>
  </cols>
  <sheetData>
    <row r="1" spans="1:23">
      <c r="D1" s="45" t="str">
        <f>References!A1</f>
        <v>Freedom 2000</v>
      </c>
      <c r="K1" s="48"/>
      <c r="L1" s="49"/>
      <c r="M1" s="49"/>
      <c r="O1" s="9"/>
    </row>
    <row r="2" spans="1:23">
      <c r="D2" s="45" t="s">
        <v>9</v>
      </c>
      <c r="K2" s="48"/>
      <c r="L2" s="49"/>
      <c r="M2" s="49"/>
    </row>
    <row r="3" spans="1:23">
      <c r="D3" s="45">
        <f>References!A3</f>
        <v>0</v>
      </c>
      <c r="K3" s="48"/>
      <c r="L3" s="49"/>
      <c r="M3" s="49"/>
    </row>
    <row r="4" spans="1:23">
      <c r="K4" s="48"/>
      <c r="L4" s="48"/>
      <c r="M4" s="48"/>
    </row>
    <row r="5" spans="1:23" ht="60">
      <c r="A5" s="1"/>
      <c r="B5" s="2" t="s">
        <v>78</v>
      </c>
      <c r="C5" s="2" t="s">
        <v>15</v>
      </c>
      <c r="D5" s="80" t="s">
        <v>17</v>
      </c>
      <c r="E5" s="2" t="s">
        <v>42</v>
      </c>
      <c r="F5" s="2" t="s">
        <v>0</v>
      </c>
      <c r="G5" s="2" t="s">
        <v>1</v>
      </c>
      <c r="H5" s="3" t="s">
        <v>10</v>
      </c>
      <c r="I5" s="3" t="s">
        <v>34</v>
      </c>
      <c r="J5" s="3" t="s">
        <v>35</v>
      </c>
      <c r="K5" s="4" t="s">
        <v>8</v>
      </c>
      <c r="L5" s="5" t="s">
        <v>2</v>
      </c>
      <c r="M5" s="5" t="s">
        <v>43</v>
      </c>
      <c r="N5" s="5" t="s">
        <v>39</v>
      </c>
      <c r="O5" s="5" t="s">
        <v>36</v>
      </c>
      <c r="P5" s="5" t="s">
        <v>37</v>
      </c>
      <c r="Q5" s="5" t="s">
        <v>40</v>
      </c>
      <c r="R5" s="5" t="s">
        <v>38</v>
      </c>
      <c r="S5" s="5" t="s">
        <v>44</v>
      </c>
      <c r="T5" s="5" t="s">
        <v>41</v>
      </c>
      <c r="U5" s="5" t="s">
        <v>56</v>
      </c>
      <c r="V5" s="3" t="s">
        <v>107</v>
      </c>
      <c r="W5" s="3" t="s">
        <v>108</v>
      </c>
    </row>
    <row r="6" spans="1:23" s="27" customFormat="1" ht="15.75">
      <c r="A6" s="174" t="s">
        <v>13</v>
      </c>
      <c r="B6" s="92"/>
      <c r="C6" s="98">
        <v>100</v>
      </c>
      <c r="D6" s="96" t="s">
        <v>81</v>
      </c>
      <c r="E6" s="100">
        <v>1</v>
      </c>
      <c r="F6" s="101">
        <f>[10]References!$D$7</f>
        <v>4.333333333333333</v>
      </c>
      <c r="G6" s="62">
        <f>E6*F6*12</f>
        <v>52</v>
      </c>
      <c r="H6" s="18">
        <v>20</v>
      </c>
      <c r="I6" s="18">
        <f>G6*H6</f>
        <v>1040</v>
      </c>
      <c r="J6" s="129">
        <f t="shared" ref="J6:J16" si="0">$E$46*I6</f>
        <v>819.47667857442309</v>
      </c>
      <c r="K6" s="53">
        <f>References!$C$17*J6</f>
        <v>6.146075089308173</v>
      </c>
      <c r="L6" s="59">
        <f>K6/References!$F$18</f>
        <v>6.2668689890725462</v>
      </c>
      <c r="M6" s="59">
        <f>L6/G6*F6</f>
        <v>0.52223908242271211</v>
      </c>
      <c r="N6" s="111">
        <v>3.64</v>
      </c>
      <c r="O6" s="59">
        <f>MROUND(N6+M6,References!$E$28)</f>
        <v>4.16</v>
      </c>
      <c r="P6" s="115">
        <f>MROUND(M6+O6,[10]References!$E$28)</f>
        <v>4.68</v>
      </c>
      <c r="Q6" s="55">
        <f>E6*N6*12</f>
        <v>43.68</v>
      </c>
      <c r="R6" s="55">
        <f>E6*P6*12</f>
        <v>56.16</v>
      </c>
      <c r="S6" s="55">
        <f>R6-Q6</f>
        <v>12.479999999999997</v>
      </c>
      <c r="T6" s="55">
        <f>E6*O6*12</f>
        <v>49.92</v>
      </c>
      <c r="U6" s="82">
        <f>T6-Q6</f>
        <v>6.240000000000002</v>
      </c>
      <c r="V6" s="26">
        <f t="shared" ref="V6:V13" si="1">J6</f>
        <v>819.47667857442309</v>
      </c>
      <c r="W6" s="128">
        <f>V6/2000</f>
        <v>0.40973833928721154</v>
      </c>
    </row>
    <row r="7" spans="1:23" s="27" customFormat="1" ht="15.75">
      <c r="A7" s="174"/>
      <c r="B7" s="92"/>
      <c r="C7" s="98">
        <v>100</v>
      </c>
      <c r="D7" s="96" t="s">
        <v>82</v>
      </c>
      <c r="E7" s="100">
        <v>119.33</v>
      </c>
      <c r="F7" s="101">
        <f>[10]References!$D$7</f>
        <v>4.333333333333333</v>
      </c>
      <c r="G7" s="62">
        <f t="shared" ref="G7:G15" si="2">E7*F7*12</f>
        <v>6205.1599999999989</v>
      </c>
      <c r="H7" s="18">
        <v>34</v>
      </c>
      <c r="I7" s="18">
        <f>G7*H7</f>
        <v>210975.43999999997</v>
      </c>
      <c r="J7" s="130">
        <f t="shared" si="0"/>
        <v>166239.85849228603</v>
      </c>
      <c r="K7" s="53">
        <f>References!$C$17*J7</f>
        <v>1246.7989386921452</v>
      </c>
      <c r="L7" s="59">
        <f>K7/References!$F$18</f>
        <v>1271.3033099922457</v>
      </c>
      <c r="M7" s="59">
        <f t="shared" ref="M7:M15" si="3">L7/G7*F7</f>
        <v>0.88780644011861065</v>
      </c>
      <c r="N7" s="115">
        <v>20.9</v>
      </c>
      <c r="O7" s="59">
        <f>MROUND(N7+M7,References!$E$28)</f>
        <v>21.79</v>
      </c>
      <c r="P7" s="115">
        <f>MROUND(M7+O7,[10]References!$E$28)</f>
        <v>22.68</v>
      </c>
      <c r="Q7" s="55">
        <f t="shared" ref="Q7:Q15" si="4">E7*N7*12</f>
        <v>29927.964</v>
      </c>
      <c r="R7" s="55">
        <f t="shared" ref="R7:R15" si="5">E7*P7*12</f>
        <v>32476.852800000001</v>
      </c>
      <c r="S7" s="55">
        <f t="shared" ref="S7:S15" si="6">R7-Q7</f>
        <v>2548.8888000000006</v>
      </c>
      <c r="T7" s="55">
        <f t="shared" ref="T7:T15" si="7">E7*O7*12</f>
        <v>31202.4084</v>
      </c>
      <c r="U7" s="82">
        <f t="shared" ref="U7:U15" si="8">T7-Q7</f>
        <v>1274.4444000000003</v>
      </c>
      <c r="V7" s="26">
        <f t="shared" si="1"/>
        <v>166239.85849228603</v>
      </c>
      <c r="W7" s="128">
        <f t="shared" ref="W7:W23" si="9">V7/2000</f>
        <v>83.119929246143016</v>
      </c>
    </row>
    <row r="8" spans="1:23" s="27" customFormat="1" ht="15.75">
      <c r="A8" s="174"/>
      <c r="B8" s="92"/>
      <c r="C8" s="98">
        <v>100</v>
      </c>
      <c r="D8" s="96" t="s">
        <v>83</v>
      </c>
      <c r="E8" s="100">
        <v>0</v>
      </c>
      <c r="F8" s="101">
        <f>[10]References!$D$7</f>
        <v>4.333333333333333</v>
      </c>
      <c r="G8" s="62">
        <f t="shared" si="2"/>
        <v>0</v>
      </c>
      <c r="H8" s="18">
        <v>51</v>
      </c>
      <c r="I8" s="18">
        <f t="shared" ref="I8:I12" si="10">G8*H8</f>
        <v>0</v>
      </c>
      <c r="J8" s="130">
        <f t="shared" si="0"/>
        <v>0</v>
      </c>
      <c r="K8" s="53">
        <f>References!$C$17*J8</f>
        <v>0</v>
      </c>
      <c r="L8" s="59">
        <f>K8/References!$F$18</f>
        <v>0</v>
      </c>
      <c r="M8" s="120" t="e">
        <f>L8/G8*F8</f>
        <v>#DIV/0!</v>
      </c>
      <c r="N8" s="111"/>
      <c r="O8" s="59" t="e">
        <f>MROUND(N8+M8,References!$E$28)</f>
        <v>#DIV/0!</v>
      </c>
      <c r="P8" s="115" t="e">
        <f>MROUND(M8+O8,[10]References!$E$28)</f>
        <v>#DIV/0!</v>
      </c>
      <c r="Q8" s="55">
        <f t="shared" si="4"/>
        <v>0</v>
      </c>
      <c r="R8" s="55"/>
      <c r="S8" s="55">
        <f t="shared" si="6"/>
        <v>0</v>
      </c>
      <c r="T8" s="55"/>
      <c r="U8" s="82">
        <f t="shared" si="8"/>
        <v>0</v>
      </c>
      <c r="V8" s="26">
        <f t="shared" si="1"/>
        <v>0</v>
      </c>
      <c r="W8" s="128">
        <f t="shared" si="9"/>
        <v>0</v>
      </c>
    </row>
    <row r="9" spans="1:23" s="27" customFormat="1" ht="15.75">
      <c r="A9" s="174"/>
      <c r="B9" s="92"/>
      <c r="C9" s="98">
        <v>100</v>
      </c>
      <c r="D9" s="96" t="s">
        <v>84</v>
      </c>
      <c r="E9" s="100">
        <v>0</v>
      </c>
      <c r="F9" s="101">
        <f>[10]References!$D$7</f>
        <v>4.333333333333333</v>
      </c>
      <c r="G9" s="62">
        <f t="shared" si="2"/>
        <v>0</v>
      </c>
      <c r="H9" s="18">
        <v>77</v>
      </c>
      <c r="I9" s="18">
        <f t="shared" si="10"/>
        <v>0</v>
      </c>
      <c r="J9" s="130">
        <f t="shared" si="0"/>
        <v>0</v>
      </c>
      <c r="K9" s="53">
        <f>References!$C$17*J9</f>
        <v>0</v>
      </c>
      <c r="L9" s="59">
        <f>K9/References!$F$18</f>
        <v>0</v>
      </c>
      <c r="M9" s="59" t="e">
        <f t="shared" si="3"/>
        <v>#DIV/0!</v>
      </c>
      <c r="N9" s="111"/>
      <c r="O9" s="59" t="e">
        <f>MROUND(N9+M9,References!$E$28)</f>
        <v>#DIV/0!</v>
      </c>
      <c r="P9" s="115" t="e">
        <f>MROUND(M9+O9,[10]References!$E$28)</f>
        <v>#DIV/0!</v>
      </c>
      <c r="Q9" s="55">
        <f t="shared" si="4"/>
        <v>0</v>
      </c>
      <c r="R9" s="55"/>
      <c r="S9" s="55">
        <f t="shared" si="6"/>
        <v>0</v>
      </c>
      <c r="T9" s="55"/>
      <c r="U9" s="82">
        <f t="shared" si="8"/>
        <v>0</v>
      </c>
      <c r="V9" s="26">
        <f t="shared" si="1"/>
        <v>0</v>
      </c>
      <c r="W9" s="128">
        <f t="shared" si="9"/>
        <v>0</v>
      </c>
    </row>
    <row r="10" spans="1:23" s="27" customFormat="1" ht="15.75">
      <c r="A10" s="174"/>
      <c r="B10" s="92"/>
      <c r="C10" s="98">
        <v>100</v>
      </c>
      <c r="D10" s="96" t="s">
        <v>85</v>
      </c>
      <c r="E10" s="100">
        <v>0</v>
      </c>
      <c r="F10" s="101">
        <f>[10]References!$D$7</f>
        <v>4.333333333333333</v>
      </c>
      <c r="G10" s="62">
        <f t="shared" si="2"/>
        <v>0</v>
      </c>
      <c r="H10" s="18">
        <v>97</v>
      </c>
      <c r="I10" s="18">
        <f t="shared" si="10"/>
        <v>0</v>
      </c>
      <c r="J10" s="130">
        <f t="shared" si="0"/>
        <v>0</v>
      </c>
      <c r="K10" s="53">
        <f>References!$C$17*J10</f>
        <v>0</v>
      </c>
      <c r="L10" s="59">
        <f>K10/References!$F$18</f>
        <v>0</v>
      </c>
      <c r="M10" s="59" t="e">
        <f t="shared" si="3"/>
        <v>#DIV/0!</v>
      </c>
      <c r="N10" s="111"/>
      <c r="O10" s="59" t="e">
        <f>MROUND(N10+M10,References!$E$28)</f>
        <v>#DIV/0!</v>
      </c>
      <c r="P10" s="115" t="e">
        <f>MROUND(M10+O10,[10]References!$E$28)</f>
        <v>#DIV/0!</v>
      </c>
      <c r="Q10" s="55">
        <f t="shared" si="4"/>
        <v>0</v>
      </c>
      <c r="R10" s="55"/>
      <c r="S10" s="55">
        <f t="shared" si="6"/>
        <v>0</v>
      </c>
      <c r="T10" s="55"/>
      <c r="U10" s="82">
        <f t="shared" si="8"/>
        <v>0</v>
      </c>
      <c r="V10" s="26">
        <f t="shared" si="1"/>
        <v>0</v>
      </c>
      <c r="W10" s="128">
        <f t="shared" si="9"/>
        <v>0</v>
      </c>
    </row>
    <row r="11" spans="1:23" s="27" customFormat="1" ht="15.75">
      <c r="A11" s="174"/>
      <c r="B11" s="92"/>
      <c r="C11" s="98">
        <v>100</v>
      </c>
      <c r="D11" s="96" t="s">
        <v>86</v>
      </c>
      <c r="E11" s="100">
        <v>0</v>
      </c>
      <c r="F11" s="101">
        <f>[10]References!$D$7</f>
        <v>4.333333333333333</v>
      </c>
      <c r="G11" s="62">
        <f t="shared" si="2"/>
        <v>0</v>
      </c>
      <c r="H11" s="18"/>
      <c r="I11" s="18">
        <f t="shared" si="10"/>
        <v>0</v>
      </c>
      <c r="J11" s="130">
        <f t="shared" si="0"/>
        <v>0</v>
      </c>
      <c r="K11" s="53">
        <f>References!$C$17*J11</f>
        <v>0</v>
      </c>
      <c r="L11" s="59">
        <f>K11/References!$F$18</f>
        <v>0</v>
      </c>
      <c r="M11" s="59" t="e">
        <f t="shared" si="3"/>
        <v>#DIV/0!</v>
      </c>
      <c r="N11" s="111"/>
      <c r="O11" s="59" t="e">
        <f>MROUND(N11+M11,References!$E$28)</f>
        <v>#DIV/0!</v>
      </c>
      <c r="P11" s="115" t="e">
        <f>MROUND(M11+O11,[10]References!$E$28)</f>
        <v>#DIV/0!</v>
      </c>
      <c r="Q11" s="55">
        <f t="shared" si="4"/>
        <v>0</v>
      </c>
      <c r="R11" s="55"/>
      <c r="S11" s="55">
        <f t="shared" si="6"/>
        <v>0</v>
      </c>
      <c r="T11" s="55"/>
      <c r="U11" s="82">
        <f t="shared" si="8"/>
        <v>0</v>
      </c>
      <c r="V11" s="26">
        <f t="shared" si="1"/>
        <v>0</v>
      </c>
      <c r="W11" s="128">
        <f t="shared" si="9"/>
        <v>0</v>
      </c>
    </row>
    <row r="12" spans="1:23" s="27" customFormat="1" ht="15.75">
      <c r="A12" s="174"/>
      <c r="B12" s="92"/>
      <c r="C12" s="98">
        <v>100</v>
      </c>
      <c r="D12" s="96" t="s">
        <v>87</v>
      </c>
      <c r="E12" s="100">
        <v>4.5</v>
      </c>
      <c r="F12" s="101">
        <f>[10]References!$D$8</f>
        <v>2.1666666666666665</v>
      </c>
      <c r="G12" s="62">
        <f t="shared" si="2"/>
        <v>117</v>
      </c>
      <c r="H12" s="18">
        <v>20</v>
      </c>
      <c r="I12" s="18">
        <f t="shared" si="10"/>
        <v>2340</v>
      </c>
      <c r="J12" s="130">
        <f t="shared" si="0"/>
        <v>1843.822526792452</v>
      </c>
      <c r="K12" s="53">
        <f>References!$C$17*J12</f>
        <v>13.82866895094339</v>
      </c>
      <c r="L12" s="59">
        <f>K12/References!$F$18</f>
        <v>14.100455225413231</v>
      </c>
      <c r="M12" s="59">
        <f t="shared" si="3"/>
        <v>0.26111954121135611</v>
      </c>
      <c r="N12" s="111">
        <v>5.63</v>
      </c>
      <c r="O12" s="59">
        <f>MROUND(N12+M12,References!$E$28)</f>
        <v>5.89</v>
      </c>
      <c r="P12" s="115">
        <f>MROUND(M12+O12,[10]References!$E$28)</f>
        <v>6.15</v>
      </c>
      <c r="Q12" s="55">
        <f t="shared" si="4"/>
        <v>304.02</v>
      </c>
      <c r="R12" s="55">
        <f t="shared" si="5"/>
        <v>332.1</v>
      </c>
      <c r="S12" s="55">
        <f t="shared" si="6"/>
        <v>28.080000000000041</v>
      </c>
      <c r="T12" s="55">
        <f t="shared" si="7"/>
        <v>318.06</v>
      </c>
      <c r="U12" s="82">
        <f t="shared" si="8"/>
        <v>14.04000000000002</v>
      </c>
      <c r="V12" s="26">
        <f t="shared" si="1"/>
        <v>1843.822526792452</v>
      </c>
      <c r="W12" s="128">
        <f t="shared" si="9"/>
        <v>0.92191126339622598</v>
      </c>
    </row>
    <row r="13" spans="1:23" s="27" customFormat="1" ht="15.75">
      <c r="A13" s="174"/>
      <c r="B13" s="92"/>
      <c r="C13" s="98">
        <v>100</v>
      </c>
      <c r="D13" s="96" t="s">
        <v>88</v>
      </c>
      <c r="E13" s="100">
        <v>115.25</v>
      </c>
      <c r="F13" s="101">
        <f>[10]References!$D$8</f>
        <v>2.1666666666666665</v>
      </c>
      <c r="G13" s="62">
        <f t="shared" si="2"/>
        <v>2996.5</v>
      </c>
      <c r="H13" s="18">
        <v>34</v>
      </c>
      <c r="I13" s="18">
        <f>G13*H13</f>
        <v>101881</v>
      </c>
      <c r="J13" s="130">
        <f t="shared" si="0"/>
        <v>80277.984124846917</v>
      </c>
      <c r="K13" s="53">
        <f>References!$C$17*J13</f>
        <v>602.08488093635185</v>
      </c>
      <c r="L13" s="59">
        <f>K13/References!$F$18</f>
        <v>613.91815334201931</v>
      </c>
      <c r="M13" s="59">
        <f t="shared" si="3"/>
        <v>0.44390322005930533</v>
      </c>
      <c r="N13" s="111">
        <v>10.8</v>
      </c>
      <c r="O13" s="59">
        <f>MROUND(N13+M13,References!$E$28)</f>
        <v>11.24</v>
      </c>
      <c r="P13" s="115">
        <f>MROUND(M13+O13,[10]References!$E$28)</f>
        <v>11.68</v>
      </c>
      <c r="Q13" s="55">
        <f t="shared" si="4"/>
        <v>14936.400000000001</v>
      </c>
      <c r="R13" s="55">
        <f t="shared" si="5"/>
        <v>16153.439999999999</v>
      </c>
      <c r="S13" s="55">
        <f t="shared" si="6"/>
        <v>1217.0399999999972</v>
      </c>
      <c r="T13" s="55">
        <f t="shared" si="7"/>
        <v>15544.920000000002</v>
      </c>
      <c r="U13" s="82">
        <f t="shared" si="8"/>
        <v>608.52000000000044</v>
      </c>
      <c r="V13" s="26">
        <f t="shared" si="1"/>
        <v>80277.984124846917</v>
      </c>
      <c r="W13" s="128">
        <f t="shared" si="9"/>
        <v>40.138992062423455</v>
      </c>
    </row>
    <row r="14" spans="1:23" s="27" customFormat="1" ht="15.75">
      <c r="A14" s="174"/>
      <c r="B14" s="92"/>
      <c r="C14" s="98"/>
      <c r="D14" s="148" t="s">
        <v>88</v>
      </c>
      <c r="E14" s="149">
        <f>'[11]Projected price out'!$E$14</f>
        <v>1859.92</v>
      </c>
      <c r="F14" s="150">
        <v>2.17</v>
      </c>
      <c r="G14" s="151">
        <f t="shared" si="2"/>
        <v>48432.316800000001</v>
      </c>
      <c r="H14" s="152">
        <v>34</v>
      </c>
      <c r="I14" s="152"/>
      <c r="J14" s="153">
        <f t="shared" si="0"/>
        <v>0</v>
      </c>
      <c r="K14" s="154">
        <f>References!$C$17*J14</f>
        <v>0</v>
      </c>
      <c r="L14" s="155">
        <f>K14/References!$F$18</f>
        <v>0</v>
      </c>
      <c r="M14" s="155">
        <f t="shared" si="3"/>
        <v>0</v>
      </c>
      <c r="N14" s="156">
        <v>10.8</v>
      </c>
      <c r="O14" s="155">
        <f>MROUND(N14+M14,References!$E$28)</f>
        <v>10.8</v>
      </c>
      <c r="P14" s="157">
        <f>MROUND(M14+O14,[10]References!$E$28)</f>
        <v>10.8</v>
      </c>
      <c r="Q14" s="158">
        <f t="shared" si="4"/>
        <v>241045.63200000004</v>
      </c>
      <c r="R14" s="158"/>
      <c r="S14" s="158">
        <f t="shared" si="6"/>
        <v>-241045.63200000004</v>
      </c>
      <c r="T14" s="158"/>
      <c r="U14" s="159">
        <f t="shared" si="8"/>
        <v>-241045.63200000004</v>
      </c>
      <c r="V14" s="160">
        <f>G14*H14*$E$46</f>
        <v>1297530.0381111153</v>
      </c>
      <c r="W14" s="161">
        <f t="shared" si="9"/>
        <v>648.76501905555767</v>
      </c>
    </row>
    <row r="15" spans="1:23" s="27" customFormat="1" ht="15.75">
      <c r="A15" s="174"/>
      <c r="B15" s="92"/>
      <c r="C15" s="98">
        <v>100</v>
      </c>
      <c r="D15" s="96" t="s">
        <v>89</v>
      </c>
      <c r="E15" s="100">
        <v>41.83</v>
      </c>
      <c r="F15" s="101">
        <f>[10]References!$D$9</f>
        <v>1</v>
      </c>
      <c r="G15" s="62">
        <f t="shared" si="2"/>
        <v>501.96</v>
      </c>
      <c r="H15" s="18">
        <v>34</v>
      </c>
      <c r="I15" s="18">
        <f>G15*H15</f>
        <v>17066.64</v>
      </c>
      <c r="J15" s="130">
        <f t="shared" si="0"/>
        <v>13447.801405409031</v>
      </c>
      <c r="K15" s="53">
        <f>References!$C$17*J15</f>
        <v>100.85851054056772</v>
      </c>
      <c r="L15" s="59">
        <f>K15/References!$F$18</f>
        <v>102.84076631121643</v>
      </c>
      <c r="M15" s="59">
        <f t="shared" si="3"/>
        <v>0.20487840925814094</v>
      </c>
      <c r="N15" s="111">
        <v>6.37</v>
      </c>
      <c r="O15" s="59">
        <f>MROUND(N15+M15,References!$E$28)</f>
        <v>6.57</v>
      </c>
      <c r="P15" s="115">
        <f>MROUND(M15+O15,[10]References!$E$28)</f>
        <v>6.7700000000000005</v>
      </c>
      <c r="Q15" s="55">
        <f t="shared" si="4"/>
        <v>3197.4851999999996</v>
      </c>
      <c r="R15" s="55">
        <f t="shared" si="5"/>
        <v>3398.2691999999997</v>
      </c>
      <c r="S15" s="55">
        <f t="shared" si="6"/>
        <v>200.78400000000011</v>
      </c>
      <c r="T15" s="55">
        <f t="shared" si="7"/>
        <v>3297.8771999999999</v>
      </c>
      <c r="U15" s="82">
        <f t="shared" si="8"/>
        <v>100.39200000000028</v>
      </c>
      <c r="V15" s="26">
        <v>0</v>
      </c>
      <c r="W15" s="128">
        <f t="shared" si="9"/>
        <v>0</v>
      </c>
    </row>
    <row r="16" spans="1:23" s="27" customFormat="1" ht="15" customHeight="1">
      <c r="A16" s="174"/>
      <c r="B16" s="92"/>
      <c r="C16" s="99">
        <v>100</v>
      </c>
      <c r="D16" s="97" t="s">
        <v>90</v>
      </c>
      <c r="E16" s="102">
        <v>0</v>
      </c>
      <c r="F16" s="101">
        <f>[10]References!$D$7</f>
        <v>4.333333333333333</v>
      </c>
      <c r="G16" s="62">
        <f>E16*F16*12</f>
        <v>0</v>
      </c>
      <c r="H16" s="18"/>
      <c r="I16" s="18">
        <f>G16*H16</f>
        <v>0</v>
      </c>
      <c r="J16" s="130">
        <f t="shared" si="0"/>
        <v>0</v>
      </c>
      <c r="K16" s="53">
        <f>References!$C$17*J16</f>
        <v>0</v>
      </c>
      <c r="L16" s="59">
        <f>K16/References!$F$18</f>
        <v>0</v>
      </c>
      <c r="M16" s="59"/>
      <c r="N16" s="114"/>
      <c r="O16" s="59">
        <f>MROUND(N16+M16,References!$E$28)</f>
        <v>0</v>
      </c>
      <c r="P16" s="115">
        <f>MROUND(M16+O16,[10]References!$E$28)</f>
        <v>0</v>
      </c>
      <c r="Q16" s="81">
        <f t="shared" ref="Q16" si="11">E16*N16*12</f>
        <v>0</v>
      </c>
      <c r="R16" s="81">
        <f t="shared" ref="R16" si="12">E16*P16*12</f>
        <v>0</v>
      </c>
      <c r="S16" s="81">
        <f>R16-Q16</f>
        <v>0</v>
      </c>
      <c r="T16" s="82">
        <f t="shared" ref="T16" si="13">E16*O16*12</f>
        <v>0</v>
      </c>
      <c r="U16" s="82">
        <f t="shared" ref="U16" si="14">T16-Q16</f>
        <v>0</v>
      </c>
      <c r="V16" s="26">
        <f t="shared" ref="V16" si="15">J16</f>
        <v>0</v>
      </c>
      <c r="W16" s="128">
        <f t="shared" si="9"/>
        <v>0</v>
      </c>
    </row>
    <row r="17" spans="1:23" s="27" customFormat="1">
      <c r="A17" s="175"/>
      <c r="B17" s="94"/>
      <c r="C17" s="33"/>
      <c r="D17" s="50" t="s">
        <v>16</v>
      </c>
      <c r="E17" s="51">
        <f>SUM(E6:E16)</f>
        <v>2141.83</v>
      </c>
      <c r="F17" s="58"/>
      <c r="G17" s="118">
        <f>SUM(G6:G16)</f>
        <v>58304.936800000003</v>
      </c>
      <c r="H17" s="119"/>
      <c r="I17" s="74">
        <f>SUM(I6:I16)</f>
        <v>333303.07999999996</v>
      </c>
      <c r="J17" s="131">
        <f>SUM(J6:J16)</f>
        <v>262628.94322790881</v>
      </c>
      <c r="K17" s="74">
        <f t="shared" ref="K17:W17" si="16">SUM(K6:K16)</f>
        <v>1969.7170742093163</v>
      </c>
      <c r="L17" s="74">
        <f t="shared" si="16"/>
        <v>2008.429553859967</v>
      </c>
      <c r="M17" s="74" t="e">
        <f t="shared" si="16"/>
        <v>#DIV/0!</v>
      </c>
      <c r="N17" s="74">
        <f t="shared" si="16"/>
        <v>58.139999999999993</v>
      </c>
      <c r="O17" s="74" t="e">
        <f t="shared" si="16"/>
        <v>#DIV/0!</v>
      </c>
      <c r="P17" s="74" t="e">
        <f t="shared" si="16"/>
        <v>#DIV/0!</v>
      </c>
      <c r="Q17" s="74">
        <f t="shared" si="16"/>
        <v>289455.18120000005</v>
      </c>
      <c r="R17" s="74">
        <f t="shared" si="16"/>
        <v>52416.822000000007</v>
      </c>
      <c r="S17" s="74">
        <f t="shared" si="16"/>
        <v>-237038.35920000004</v>
      </c>
      <c r="T17" s="74">
        <f t="shared" si="16"/>
        <v>50413.185600000004</v>
      </c>
      <c r="U17" s="74">
        <f t="shared" si="16"/>
        <v>-239041.99560000005</v>
      </c>
      <c r="V17" s="74">
        <f t="shared" si="16"/>
        <v>1546711.179933615</v>
      </c>
      <c r="W17" s="74">
        <f t="shared" si="16"/>
        <v>773.35558996680754</v>
      </c>
    </row>
    <row r="18" spans="1:23" s="27" customFormat="1" ht="14.45" customHeight="1">
      <c r="A18" s="176" t="s">
        <v>14</v>
      </c>
      <c r="B18" s="98"/>
      <c r="C18" s="103"/>
      <c r="D18" s="104" t="s">
        <v>82</v>
      </c>
      <c r="E18" s="105"/>
      <c r="F18" s="101">
        <f>[10]References!$D$7</f>
        <v>4.333333333333333</v>
      </c>
      <c r="G18" s="61">
        <f>E18*F18*12</f>
        <v>0</v>
      </c>
      <c r="H18" s="34"/>
      <c r="I18" s="18">
        <f t="shared" ref="I18" si="17">G18*H18</f>
        <v>0</v>
      </c>
      <c r="J18" s="130">
        <f t="shared" ref="J18:J23" si="18">$E$46*I18</f>
        <v>0</v>
      </c>
      <c r="K18" s="53">
        <f>References!$C$17*J18</f>
        <v>0</v>
      </c>
      <c r="L18" s="59">
        <f>K18/References!$F$18</f>
        <v>0</v>
      </c>
      <c r="M18" s="59"/>
      <c r="N18" s="52"/>
      <c r="O18" s="59"/>
      <c r="P18" s="115"/>
      <c r="Q18" s="55">
        <f>E18*N18</f>
        <v>0</v>
      </c>
      <c r="R18" s="55">
        <f>E18*P18</f>
        <v>0</v>
      </c>
      <c r="S18" s="55">
        <f>R18-Q18</f>
        <v>0</v>
      </c>
      <c r="T18" s="55"/>
      <c r="U18" s="82"/>
      <c r="V18" s="26">
        <f t="shared" ref="V18:V23" si="19">J18</f>
        <v>0</v>
      </c>
      <c r="W18" s="128">
        <f t="shared" si="9"/>
        <v>0</v>
      </c>
    </row>
    <row r="19" spans="1:23" s="27" customFormat="1" ht="15.75">
      <c r="A19" s="174"/>
      <c r="B19" s="98"/>
      <c r="C19" s="106"/>
      <c r="D19" s="96" t="s">
        <v>91</v>
      </c>
      <c r="E19" s="100">
        <v>29</v>
      </c>
      <c r="F19" s="101">
        <v>1</v>
      </c>
      <c r="G19" s="62"/>
      <c r="H19" s="18"/>
      <c r="I19" s="18">
        <f t="shared" ref="I19:I22" si="20">G19*H19</f>
        <v>0</v>
      </c>
      <c r="J19" s="130">
        <f t="shared" si="18"/>
        <v>0</v>
      </c>
      <c r="K19" s="53">
        <f>References!$C$17*J19</f>
        <v>0</v>
      </c>
      <c r="L19" s="59">
        <f>K19/References!$F$18</f>
        <v>0</v>
      </c>
      <c r="M19" s="59" t="e">
        <f t="shared" ref="M19:M20" si="21">L19/G19*F19</f>
        <v>#DIV/0!</v>
      </c>
      <c r="N19" s="111">
        <v>8</v>
      </c>
      <c r="O19" s="59" t="e">
        <f>MROUND(N19+M19,References!$E$28)</f>
        <v>#DIV/0!</v>
      </c>
      <c r="P19" s="115">
        <v>8</v>
      </c>
      <c r="Q19" s="55">
        <f t="shared" ref="Q19" si="22">E19*N19*12</f>
        <v>2784</v>
      </c>
      <c r="R19" s="55">
        <f t="shared" ref="R19" si="23">E19*P19*12</f>
        <v>2784</v>
      </c>
      <c r="S19" s="55">
        <f t="shared" ref="S19" si="24">R19-Q19</f>
        <v>0</v>
      </c>
      <c r="T19" s="55"/>
      <c r="U19" s="82">
        <f t="shared" ref="U19:U20" si="25">T19-Q19</f>
        <v>-2784</v>
      </c>
      <c r="V19" s="26">
        <f t="shared" si="19"/>
        <v>0</v>
      </c>
      <c r="W19" s="128">
        <f t="shared" si="9"/>
        <v>0</v>
      </c>
    </row>
    <row r="20" spans="1:23" s="27" customFormat="1" ht="15.75">
      <c r="A20" s="174"/>
      <c r="B20" s="98">
        <v>240</v>
      </c>
      <c r="C20" s="106">
        <v>38</v>
      </c>
      <c r="D20" s="96" t="s">
        <v>92</v>
      </c>
      <c r="E20" s="100">
        <v>503</v>
      </c>
      <c r="F20" s="101">
        <v>1</v>
      </c>
      <c r="G20" s="62">
        <v>503</v>
      </c>
      <c r="H20" s="18">
        <v>250</v>
      </c>
      <c r="I20" s="18">
        <f>G20*H20</f>
        <v>125750</v>
      </c>
      <c r="J20" s="130">
        <f t="shared" si="18"/>
        <v>99085.76185647471</v>
      </c>
      <c r="K20" s="53">
        <f>References!$C$17*J20</f>
        <v>743.14321392356032</v>
      </c>
      <c r="L20" s="59">
        <f>K20/References!$F$18</f>
        <v>757.74882247680068</v>
      </c>
      <c r="M20" s="59">
        <f t="shared" si="21"/>
        <v>1.5064588916039774</v>
      </c>
      <c r="N20" s="111">
        <v>34.450000000000003</v>
      </c>
      <c r="O20" s="59">
        <f>MROUND(N20+M20,References!$E$28)</f>
        <v>35.96</v>
      </c>
      <c r="P20" s="115">
        <v>36.17</v>
      </c>
      <c r="Q20" s="55">
        <f>E20*N20</f>
        <v>17328.350000000002</v>
      </c>
      <c r="R20" s="55">
        <f>E20*P20</f>
        <v>18193.510000000002</v>
      </c>
      <c r="S20" s="55">
        <f>R20-Q20</f>
        <v>865.15999999999985</v>
      </c>
      <c r="T20" s="55">
        <f>E20*O20</f>
        <v>18087.88</v>
      </c>
      <c r="U20" s="82">
        <f t="shared" si="25"/>
        <v>759.52999999999884</v>
      </c>
      <c r="V20" s="26">
        <f t="shared" si="19"/>
        <v>99085.76185647471</v>
      </c>
      <c r="W20" s="128">
        <f t="shared" si="9"/>
        <v>49.542880928237352</v>
      </c>
    </row>
    <row r="21" spans="1:23" s="27" customFormat="1" ht="15.75">
      <c r="A21" s="174"/>
      <c r="B21" s="98"/>
      <c r="C21" s="106"/>
      <c r="D21" s="96" t="s">
        <v>93</v>
      </c>
      <c r="E21" s="100"/>
      <c r="F21" s="101">
        <f>[10]References!G7</f>
        <v>17.333333333333332</v>
      </c>
      <c r="G21" s="62">
        <f t="shared" ref="G21:G22" si="26">E21*F21*12</f>
        <v>0</v>
      </c>
      <c r="H21" s="18"/>
      <c r="I21" s="18">
        <f t="shared" si="20"/>
        <v>0</v>
      </c>
      <c r="J21" s="130">
        <f t="shared" si="18"/>
        <v>0</v>
      </c>
      <c r="K21" s="53">
        <f>References!$C$17*J21</f>
        <v>0</v>
      </c>
      <c r="L21" s="59">
        <f>K21/References!$F$18</f>
        <v>0</v>
      </c>
      <c r="M21" s="59"/>
      <c r="N21" s="111"/>
      <c r="O21" s="59"/>
      <c r="P21" s="115"/>
      <c r="Q21" s="55"/>
      <c r="R21" s="55"/>
      <c r="S21" s="55"/>
      <c r="T21" s="55"/>
      <c r="U21" s="82"/>
      <c r="V21" s="26">
        <f t="shared" si="19"/>
        <v>0</v>
      </c>
      <c r="W21" s="128">
        <f t="shared" si="9"/>
        <v>0</v>
      </c>
    </row>
    <row r="22" spans="1:23" s="27" customFormat="1" ht="15.75">
      <c r="A22" s="174"/>
      <c r="B22" s="98"/>
      <c r="C22" s="106"/>
      <c r="D22" s="96" t="s">
        <v>94</v>
      </c>
      <c r="E22" s="100"/>
      <c r="F22" s="101">
        <f>[10]References!$D$8</f>
        <v>2.1666666666666665</v>
      </c>
      <c r="G22" s="62">
        <f t="shared" si="26"/>
        <v>0</v>
      </c>
      <c r="H22" s="18"/>
      <c r="I22" s="18">
        <f t="shared" si="20"/>
        <v>0</v>
      </c>
      <c r="J22" s="130">
        <f t="shared" si="18"/>
        <v>0</v>
      </c>
      <c r="K22" s="53">
        <f>References!$C$17*J22</f>
        <v>0</v>
      </c>
      <c r="L22" s="59">
        <f>K22/References!$F$18</f>
        <v>0</v>
      </c>
      <c r="M22" s="59"/>
      <c r="N22" s="111"/>
      <c r="O22" s="59"/>
      <c r="P22" s="115"/>
      <c r="Q22" s="55"/>
      <c r="R22" s="55"/>
      <c r="S22" s="55"/>
      <c r="T22" s="55"/>
      <c r="U22" s="82"/>
      <c r="V22" s="26">
        <f t="shared" si="19"/>
        <v>0</v>
      </c>
      <c r="W22" s="128">
        <f t="shared" si="9"/>
        <v>0</v>
      </c>
    </row>
    <row r="23" spans="1:23" s="27" customFormat="1" ht="15.75">
      <c r="A23" s="174"/>
      <c r="B23" s="99"/>
      <c r="C23" s="107"/>
      <c r="D23" s="97" t="s">
        <v>95</v>
      </c>
      <c r="E23" s="102">
        <v>40</v>
      </c>
      <c r="F23" s="108">
        <f>[10]References!$D$9</f>
        <v>1</v>
      </c>
      <c r="G23" s="63">
        <f t="shared" ref="G23" si="27">E23*F23*12</f>
        <v>480</v>
      </c>
      <c r="H23" s="30">
        <v>250</v>
      </c>
      <c r="I23" s="30">
        <f>G23*H23</f>
        <v>120000</v>
      </c>
      <c r="J23" s="133">
        <f t="shared" si="18"/>
        <v>94555.0013739719</v>
      </c>
      <c r="K23" s="54">
        <f>References!$C$17*J23</f>
        <v>709.16251030478918</v>
      </c>
      <c r="L23" s="60">
        <f>K23/References!$F$18</f>
        <v>723.10026796990917</v>
      </c>
      <c r="M23" s="60">
        <f t="shared" ref="M23" si="28">L23/G23*F23</f>
        <v>1.5064588916039774</v>
      </c>
      <c r="N23" s="114">
        <v>0</v>
      </c>
      <c r="O23" s="60">
        <f>MROUND(N23+M23,References!$E$28)</f>
        <v>1.51</v>
      </c>
      <c r="P23" s="145"/>
      <c r="Q23" s="56">
        <f t="shared" ref="Q23" si="29">E23*N23</f>
        <v>0</v>
      </c>
      <c r="R23" s="56">
        <f t="shared" ref="R23" si="30">E23*P23</f>
        <v>0</v>
      </c>
      <c r="S23" s="56">
        <f t="shared" ref="S23" si="31">R23-Q23</f>
        <v>0</v>
      </c>
      <c r="T23" s="56">
        <f t="shared" ref="T23" si="32">E23*O23</f>
        <v>60.4</v>
      </c>
      <c r="U23" s="146">
        <f t="shared" ref="U23" si="33">T23-Q23</f>
        <v>60.4</v>
      </c>
      <c r="V23" s="37">
        <f t="shared" si="19"/>
        <v>94555.0013739719</v>
      </c>
      <c r="W23" s="30">
        <f t="shared" si="9"/>
        <v>47.277500686985952</v>
      </c>
    </row>
    <row r="24" spans="1:23" s="27" customFormat="1">
      <c r="A24" s="175"/>
      <c r="B24" s="91"/>
      <c r="C24" s="67"/>
      <c r="D24" s="68" t="s">
        <v>16</v>
      </c>
      <c r="E24" s="57">
        <f>SUM(E18:E23)</f>
        <v>572</v>
      </c>
      <c r="F24" s="29"/>
      <c r="G24" s="64">
        <f>SUM(G18:G23)</f>
        <v>983</v>
      </c>
      <c r="H24" s="30"/>
      <c r="I24" s="57">
        <f>SUM(I18:I23)</f>
        <v>245750</v>
      </c>
      <c r="J24" s="132">
        <f>SUM(J18:J23)</f>
        <v>193640.76323044661</v>
      </c>
      <c r="K24" s="132">
        <f t="shared" ref="K24:W24" si="34">SUM(K18:K23)</f>
        <v>1452.3057242283494</v>
      </c>
      <c r="L24" s="132">
        <f t="shared" si="34"/>
        <v>1480.8490904467099</v>
      </c>
      <c r="M24" s="132" t="e">
        <f t="shared" si="34"/>
        <v>#DIV/0!</v>
      </c>
      <c r="N24" s="132">
        <f t="shared" si="34"/>
        <v>42.45</v>
      </c>
      <c r="O24" s="132" t="e">
        <f t="shared" si="34"/>
        <v>#DIV/0!</v>
      </c>
      <c r="P24" s="132">
        <f t="shared" si="34"/>
        <v>44.17</v>
      </c>
      <c r="Q24" s="132">
        <f t="shared" si="34"/>
        <v>20112.350000000002</v>
      </c>
      <c r="R24" s="132">
        <f t="shared" si="34"/>
        <v>20977.510000000002</v>
      </c>
      <c r="S24" s="132">
        <f t="shared" si="34"/>
        <v>865.15999999999985</v>
      </c>
      <c r="T24" s="132">
        <f t="shared" si="34"/>
        <v>18148.280000000002</v>
      </c>
      <c r="U24" s="132">
        <f t="shared" si="34"/>
        <v>-1964.0700000000011</v>
      </c>
      <c r="V24" s="162">
        <f t="shared" si="34"/>
        <v>193640.76323044661</v>
      </c>
      <c r="W24" s="132">
        <f t="shared" si="34"/>
        <v>96.820381615223312</v>
      </c>
    </row>
    <row r="25" spans="1:23">
      <c r="V25" s="40"/>
    </row>
    <row r="26" spans="1:23" ht="14.45" hidden="1" customHeight="1">
      <c r="A26" s="117" t="s">
        <v>13</v>
      </c>
      <c r="B26" s="98">
        <v>100</v>
      </c>
      <c r="C26" s="106">
        <v>25</v>
      </c>
      <c r="D26" s="96" t="s">
        <v>96</v>
      </c>
      <c r="E26" s="24">
        <v>0</v>
      </c>
      <c r="F26" s="19"/>
      <c r="G26" s="109">
        <v>2276</v>
      </c>
      <c r="H26" s="18"/>
      <c r="I26" s="18">
        <f t="shared" ref="I26:I38" si="35">G26*H26</f>
        <v>0</v>
      </c>
      <c r="J26" s="130">
        <f>$E$46*I26</f>
        <v>0</v>
      </c>
      <c r="K26" s="53">
        <f>References!$C$17*J26</f>
        <v>0</v>
      </c>
      <c r="L26" s="53">
        <f>K26/References!$F$18</f>
        <v>0</v>
      </c>
      <c r="M26" s="59">
        <f t="shared" ref="M26:M38" si="36">L26/G26</f>
        <v>0</v>
      </c>
      <c r="N26" s="111">
        <v>4.62</v>
      </c>
      <c r="O26" s="59">
        <f>MROUND(N26+M26,References!$E$28)</f>
        <v>4.62</v>
      </c>
      <c r="P26" s="52"/>
      <c r="Q26" s="55">
        <f t="shared" ref="Q26:Q34" si="37">N26*G26</f>
        <v>10515.12</v>
      </c>
      <c r="R26" s="55">
        <f t="shared" ref="R26:R34" si="38">P26*G26</f>
        <v>0</v>
      </c>
      <c r="S26" s="55">
        <f t="shared" ref="S26:S34" si="39">R26-Q26</f>
        <v>-10515.12</v>
      </c>
      <c r="T26" s="76">
        <f>O26*G26</f>
        <v>10515.12</v>
      </c>
      <c r="U26" s="82">
        <f t="shared" ref="U26:U34" si="40">T26-Q26</f>
        <v>0</v>
      </c>
      <c r="V26" s="40"/>
    </row>
    <row r="27" spans="1:23" ht="15.75">
      <c r="A27" s="181"/>
      <c r="B27" s="98">
        <v>100</v>
      </c>
      <c r="C27" s="106">
        <v>22</v>
      </c>
      <c r="D27" s="96" t="s">
        <v>101</v>
      </c>
      <c r="E27" s="100">
        <v>1513</v>
      </c>
      <c r="F27" s="101"/>
      <c r="G27" s="109">
        <f>7628/32.72</f>
        <v>233.12958435207824</v>
      </c>
      <c r="H27" s="109">
        <v>250</v>
      </c>
      <c r="I27" s="18">
        <f>G27*H27</f>
        <v>58282.396088019559</v>
      </c>
      <c r="J27" s="130">
        <f>$E$46*I27</f>
        <v>45924.10035150886</v>
      </c>
      <c r="K27" s="53">
        <f>References!$C$17*J27</f>
        <v>344.43075263631641</v>
      </c>
      <c r="L27" s="53">
        <f>K27/References!$F$18</f>
        <v>351.2001352431277</v>
      </c>
      <c r="M27" s="59">
        <f t="shared" ref="M27" si="41">L27/G27</f>
        <v>1.5064588916039772</v>
      </c>
      <c r="N27" s="112">
        <v>39.700000000000003</v>
      </c>
      <c r="O27" s="59">
        <f>MROUND(N27+M27,References!$E$28)</f>
        <v>41.21</v>
      </c>
      <c r="P27" s="53">
        <v>41.69</v>
      </c>
      <c r="Q27" s="55">
        <f t="shared" ref="Q27" si="42">N27*G27</f>
        <v>9255.244498777507</v>
      </c>
      <c r="R27" s="55">
        <f t="shared" ref="R27" si="43">P27*G27</f>
        <v>9719.1723716381421</v>
      </c>
      <c r="S27" s="55">
        <f t="shared" ref="S27" si="44">R27-Q27</f>
        <v>463.92787286063503</v>
      </c>
      <c r="T27" s="76">
        <f>O27*G27</f>
        <v>9607.2701711491445</v>
      </c>
      <c r="U27" s="82">
        <f t="shared" ref="U27" si="45">T27-Q27</f>
        <v>352.02567237163748</v>
      </c>
      <c r="V27" s="26">
        <f t="shared" ref="V27:V30" si="46">J27</f>
        <v>45924.10035150886</v>
      </c>
      <c r="W27" s="128">
        <f t="shared" ref="W27:W30" si="47">V27/2000</f>
        <v>22.962050175754431</v>
      </c>
    </row>
    <row r="28" spans="1:23" ht="15.75">
      <c r="A28" s="181"/>
      <c r="B28" s="98"/>
      <c r="C28" s="106"/>
      <c r="D28" s="96" t="s">
        <v>105</v>
      </c>
      <c r="E28" s="100"/>
      <c r="F28" s="101"/>
      <c r="G28" s="109">
        <v>30</v>
      </c>
      <c r="H28" s="109">
        <v>250</v>
      </c>
      <c r="I28" s="18"/>
      <c r="J28" s="130"/>
      <c r="K28" s="53"/>
      <c r="L28" s="53"/>
      <c r="M28" s="59"/>
      <c r="N28" s="112"/>
      <c r="O28" s="59"/>
      <c r="P28" s="53"/>
      <c r="Q28" s="55"/>
      <c r="R28" s="55"/>
      <c r="S28" s="55"/>
      <c r="T28" s="76"/>
      <c r="U28" s="82"/>
      <c r="V28" s="26">
        <f t="shared" si="46"/>
        <v>0</v>
      </c>
      <c r="W28" s="128">
        <f t="shared" si="47"/>
        <v>0</v>
      </c>
    </row>
    <row r="29" spans="1:23" ht="15.75">
      <c r="A29" s="181"/>
      <c r="B29" s="98"/>
      <c r="C29" s="106"/>
      <c r="D29" s="96" t="s">
        <v>104</v>
      </c>
      <c r="E29" s="24">
        <v>0</v>
      </c>
      <c r="F29" s="19"/>
      <c r="G29" s="109">
        <v>27</v>
      </c>
      <c r="H29" s="18">
        <v>250</v>
      </c>
      <c r="I29" s="18">
        <f t="shared" ref="I29:I30" si="48">G29*H29</f>
        <v>6750</v>
      </c>
      <c r="J29" s="130">
        <f>$E$46*I29</f>
        <v>5318.7188272859194</v>
      </c>
      <c r="K29" s="53">
        <f>References!$C$17*J29</f>
        <v>39.890391204644395</v>
      </c>
      <c r="L29" s="53">
        <f>K29/References!$F$18</f>
        <v>40.6743900733074</v>
      </c>
      <c r="M29" s="59"/>
      <c r="N29" s="112"/>
      <c r="O29" s="59"/>
      <c r="P29" s="53"/>
      <c r="Q29" s="55"/>
      <c r="R29" s="55"/>
      <c r="S29" s="55"/>
      <c r="T29" s="76"/>
      <c r="U29" s="82"/>
      <c r="V29" s="26">
        <f t="shared" si="46"/>
        <v>5318.7188272859194</v>
      </c>
      <c r="W29" s="128">
        <f t="shared" si="47"/>
        <v>2.6593594136429597</v>
      </c>
    </row>
    <row r="30" spans="1:23" ht="15.75">
      <c r="A30" s="181"/>
      <c r="B30" s="99"/>
      <c r="C30" s="107"/>
      <c r="D30" s="97" t="s">
        <v>103</v>
      </c>
      <c r="E30" s="28">
        <v>0</v>
      </c>
      <c r="F30" s="29"/>
      <c r="G30" s="110">
        <v>548</v>
      </c>
      <c r="H30" s="30">
        <v>250</v>
      </c>
      <c r="I30" s="18">
        <f t="shared" si="48"/>
        <v>137000</v>
      </c>
      <c r="J30" s="133">
        <f>$E$46*I30</f>
        <v>107950.29323528458</v>
      </c>
      <c r="K30" s="53">
        <f>References!$C$17*J30</f>
        <v>809.62719926463433</v>
      </c>
      <c r="L30" s="54">
        <f>K30/References!$F$18</f>
        <v>825.53947259897973</v>
      </c>
      <c r="M30" s="59"/>
      <c r="N30" s="113"/>
      <c r="O30" s="59"/>
      <c r="P30" s="54"/>
      <c r="Q30" s="55"/>
      <c r="R30" s="55"/>
      <c r="S30" s="55"/>
      <c r="T30" s="76"/>
      <c r="U30" s="82"/>
      <c r="V30" s="26">
        <f t="shared" si="46"/>
        <v>107950.29323528458</v>
      </c>
      <c r="W30" s="128">
        <f t="shared" si="47"/>
        <v>53.975146617642288</v>
      </c>
    </row>
    <row r="31" spans="1:23">
      <c r="A31" s="182"/>
      <c r="B31" s="95"/>
      <c r="C31" s="69"/>
      <c r="D31" s="68" t="s">
        <v>16</v>
      </c>
      <c r="E31" s="71"/>
      <c r="F31" s="71"/>
      <c r="G31" s="72">
        <f t="shared" ref="G31:W31" si="49">SUM(G27:G30)</f>
        <v>838.12958435207827</v>
      </c>
      <c r="H31" s="72">
        <f t="shared" si="49"/>
        <v>1000</v>
      </c>
      <c r="I31" s="72">
        <f t="shared" si="49"/>
        <v>202032.39608801957</v>
      </c>
      <c r="J31" s="135">
        <f t="shared" si="49"/>
        <v>159193.11241407937</v>
      </c>
      <c r="K31" s="135">
        <f t="shared" si="49"/>
        <v>1193.9483431055951</v>
      </c>
      <c r="L31" s="135">
        <f t="shared" si="49"/>
        <v>1217.4139979154147</v>
      </c>
      <c r="M31" s="135">
        <f t="shared" si="49"/>
        <v>1.5064588916039772</v>
      </c>
      <c r="N31" s="135">
        <f t="shared" si="49"/>
        <v>39.700000000000003</v>
      </c>
      <c r="O31" s="135">
        <f t="shared" si="49"/>
        <v>41.21</v>
      </c>
      <c r="P31" s="135">
        <f t="shared" si="49"/>
        <v>41.69</v>
      </c>
      <c r="Q31" s="135">
        <f t="shared" si="49"/>
        <v>9255.244498777507</v>
      </c>
      <c r="R31" s="135">
        <f t="shared" si="49"/>
        <v>9719.1723716381421</v>
      </c>
      <c r="S31" s="135">
        <f t="shared" si="49"/>
        <v>463.92787286063503</v>
      </c>
      <c r="T31" s="135">
        <f t="shared" si="49"/>
        <v>9607.2701711491445</v>
      </c>
      <c r="U31" s="135">
        <f t="shared" si="49"/>
        <v>352.02567237163748</v>
      </c>
      <c r="V31" s="163">
        <f t="shared" si="49"/>
        <v>159193.11241407937</v>
      </c>
      <c r="W31" s="135">
        <f t="shared" si="49"/>
        <v>79.596556207039683</v>
      </c>
    </row>
    <row r="32" spans="1:23" ht="14.45" customHeight="1">
      <c r="A32" s="180" t="s">
        <v>13</v>
      </c>
      <c r="B32" s="98"/>
      <c r="C32" s="106"/>
      <c r="D32" s="70" t="s">
        <v>31</v>
      </c>
      <c r="E32" s="24"/>
      <c r="F32" s="19"/>
      <c r="G32" s="109"/>
      <c r="H32" s="18"/>
      <c r="I32" s="18"/>
      <c r="J32" s="129"/>
      <c r="K32" s="53"/>
      <c r="L32" s="52"/>
      <c r="M32" s="59"/>
      <c r="N32" s="111"/>
      <c r="O32" s="59"/>
      <c r="P32" s="52"/>
      <c r="Q32" s="55"/>
      <c r="R32" s="55"/>
      <c r="S32" s="55"/>
      <c r="T32" s="76"/>
      <c r="U32" s="82"/>
      <c r="V32" s="40"/>
    </row>
    <row r="33" spans="1:23" ht="14.25" customHeight="1">
      <c r="A33" s="181"/>
      <c r="B33" s="98">
        <v>100</v>
      </c>
      <c r="C33" s="106">
        <v>24</v>
      </c>
      <c r="D33" s="96" t="s">
        <v>96</v>
      </c>
      <c r="E33" s="24"/>
      <c r="F33" s="19"/>
      <c r="G33" s="109">
        <v>2276</v>
      </c>
      <c r="H33" s="18">
        <v>34</v>
      </c>
      <c r="I33" s="18">
        <f>G33*H33</f>
        <v>77384</v>
      </c>
      <c r="J33" s="129">
        <f>$E$46*I33</f>
        <v>60975.368552695341</v>
      </c>
      <c r="K33" s="53">
        <f>References!$C$17*J33</f>
        <v>457.31526414521505</v>
      </c>
      <c r="L33" s="52">
        <f>K33/References!$F$18</f>
        <v>466.3032594715288</v>
      </c>
      <c r="M33" s="59">
        <f t="shared" ref="M33" si="50">L33/G33</f>
        <v>0.20487840925814096</v>
      </c>
      <c r="N33" s="112">
        <v>4.62</v>
      </c>
      <c r="O33" s="59">
        <f>MROUND(N33+M33,References!$E$28)</f>
        <v>4.82</v>
      </c>
      <c r="P33" s="52">
        <v>4.8499999999999996</v>
      </c>
      <c r="Q33" s="55">
        <f t="shared" ref="Q33" si="51">N33*G33</f>
        <v>10515.12</v>
      </c>
      <c r="R33" s="55">
        <f t="shared" ref="R33" si="52">P33*G33</f>
        <v>11038.599999999999</v>
      </c>
      <c r="S33" s="55">
        <f t="shared" ref="S33" si="53">R33-Q33</f>
        <v>523.47999999999774</v>
      </c>
      <c r="T33" s="76">
        <f>O33*G33</f>
        <v>10970.320000000002</v>
      </c>
      <c r="U33" s="82">
        <f t="shared" ref="U33" si="54">T33-Q33</f>
        <v>455.20000000000073</v>
      </c>
      <c r="V33" s="26">
        <f t="shared" ref="V33:V38" si="55">J33</f>
        <v>60975.368552695341</v>
      </c>
      <c r="W33" s="128">
        <f t="shared" ref="W33:W38" si="56">V33/2000</f>
        <v>30.487684276347672</v>
      </c>
    </row>
    <row r="34" spans="1:23" ht="15.75">
      <c r="A34" s="181"/>
      <c r="B34" s="98">
        <v>55</v>
      </c>
      <c r="C34" s="106">
        <v>24</v>
      </c>
      <c r="D34" s="96" t="s">
        <v>97</v>
      </c>
      <c r="E34" s="24"/>
      <c r="F34" s="19"/>
      <c r="G34" s="109">
        <v>1472</v>
      </c>
      <c r="H34" s="18">
        <v>34</v>
      </c>
      <c r="I34" s="18">
        <f t="shared" si="35"/>
        <v>50048</v>
      </c>
      <c r="J34" s="130">
        <f>$E$46*I34</f>
        <v>39435.739239704548</v>
      </c>
      <c r="K34" s="53">
        <f>References!$C$17*J34</f>
        <v>295.76804429778412</v>
      </c>
      <c r="L34" s="53">
        <f>K34/References!$F$18</f>
        <v>301.58101842798351</v>
      </c>
      <c r="M34" s="59">
        <f t="shared" si="36"/>
        <v>0.20487840925814096</v>
      </c>
      <c r="N34" s="112">
        <v>6.15</v>
      </c>
      <c r="O34" s="59">
        <f>MROUND(N34+M34,References!$E$28)</f>
        <v>6.3500000000000005</v>
      </c>
      <c r="P34" s="53">
        <v>6.46</v>
      </c>
      <c r="Q34" s="55">
        <f t="shared" si="37"/>
        <v>9052.8000000000011</v>
      </c>
      <c r="R34" s="55">
        <f t="shared" si="38"/>
        <v>9509.1200000000008</v>
      </c>
      <c r="S34" s="55">
        <f t="shared" si="39"/>
        <v>456.31999999999971</v>
      </c>
      <c r="T34" s="76">
        <f>O34*G34</f>
        <v>9347.2000000000007</v>
      </c>
      <c r="U34" s="82">
        <f t="shared" si="40"/>
        <v>294.39999999999964</v>
      </c>
      <c r="V34" s="26">
        <f t="shared" si="55"/>
        <v>39435.739239704548</v>
      </c>
      <c r="W34" s="128">
        <f t="shared" si="56"/>
        <v>19.717869619852273</v>
      </c>
    </row>
    <row r="35" spans="1:23" ht="15.75">
      <c r="A35" s="181"/>
      <c r="B35" s="98"/>
      <c r="C35" s="106">
        <v>19</v>
      </c>
      <c r="D35" s="96" t="s">
        <v>98</v>
      </c>
      <c r="E35" s="24">
        <v>0</v>
      </c>
      <c r="F35" s="19"/>
      <c r="G35" s="109">
        <v>2.17</v>
      </c>
      <c r="H35" s="18">
        <v>34</v>
      </c>
      <c r="I35" s="18"/>
      <c r="J35" s="130"/>
      <c r="K35" s="53"/>
      <c r="L35" s="53"/>
      <c r="M35" s="59"/>
      <c r="N35" s="112">
        <v>4.62</v>
      </c>
      <c r="O35" s="59">
        <f>MROUND(N35+M35,References!$E$28)</f>
        <v>4.62</v>
      </c>
      <c r="P35" s="53">
        <v>4.8499999999999996</v>
      </c>
      <c r="Q35" s="55">
        <f t="shared" ref="Q35:Q38" si="57">N35*G35</f>
        <v>10.025399999999999</v>
      </c>
      <c r="R35" s="55">
        <f t="shared" ref="R35:R38" si="58">P35*G35</f>
        <v>10.5245</v>
      </c>
      <c r="S35" s="55">
        <f t="shared" ref="S35:S38" si="59">R35-Q35</f>
        <v>0.49910000000000032</v>
      </c>
      <c r="T35" s="76">
        <f>O35*G35</f>
        <v>10.025399999999999</v>
      </c>
      <c r="U35" s="82">
        <f>T35-Q35</f>
        <v>0</v>
      </c>
      <c r="V35" s="26">
        <f t="shared" si="55"/>
        <v>0</v>
      </c>
      <c r="W35" s="128">
        <f t="shared" si="56"/>
        <v>0</v>
      </c>
    </row>
    <row r="36" spans="1:23" ht="15.75">
      <c r="A36" s="181"/>
      <c r="B36" s="98"/>
      <c r="C36" s="106"/>
      <c r="D36" s="96"/>
      <c r="E36" s="24"/>
      <c r="F36" s="19"/>
      <c r="G36" s="109"/>
      <c r="H36" s="18"/>
      <c r="I36" s="18"/>
      <c r="J36" s="130">
        <f>$E$46*I36</f>
        <v>0</v>
      </c>
      <c r="K36" s="53">
        <f>References!$C$17*J36</f>
        <v>0</v>
      </c>
      <c r="L36" s="53">
        <f>K36/References!$F$18</f>
        <v>0</v>
      </c>
      <c r="M36" s="59"/>
      <c r="N36" s="112"/>
      <c r="O36" s="59"/>
      <c r="P36" s="53"/>
      <c r="Q36" s="55"/>
      <c r="R36" s="55"/>
      <c r="S36" s="55"/>
      <c r="T36" s="76"/>
      <c r="U36" s="82"/>
      <c r="V36" s="26">
        <f t="shared" si="55"/>
        <v>0</v>
      </c>
      <c r="W36" s="128">
        <f t="shared" si="56"/>
        <v>0</v>
      </c>
    </row>
    <row r="37" spans="1:23" ht="15.75">
      <c r="A37" s="181"/>
      <c r="B37" s="98">
        <v>100</v>
      </c>
      <c r="C37" s="106">
        <v>25</v>
      </c>
      <c r="D37" s="96" t="s">
        <v>99</v>
      </c>
      <c r="E37" s="24">
        <v>0</v>
      </c>
      <c r="F37" s="19"/>
      <c r="G37" s="109">
        <v>4</v>
      </c>
      <c r="H37" s="18">
        <v>20</v>
      </c>
      <c r="I37" s="18">
        <f t="shared" si="35"/>
        <v>80</v>
      </c>
      <c r="J37" s="130">
        <f>$E$46*I37</f>
        <v>63.036667582647929</v>
      </c>
      <c r="K37" s="53">
        <f>References!$C$17*J37</f>
        <v>0.47277500686985946</v>
      </c>
      <c r="L37" s="53">
        <f>K37/References!$F$18</f>
        <v>0.48206684531327282</v>
      </c>
      <c r="M37" s="59">
        <f t="shared" si="36"/>
        <v>0.1205167113283182</v>
      </c>
      <c r="N37" s="112">
        <v>3.64</v>
      </c>
      <c r="O37" s="59">
        <f>MROUND(N37+M37,References!$E$28)</f>
        <v>3.7600000000000002</v>
      </c>
      <c r="P37" s="53">
        <v>3.82</v>
      </c>
      <c r="Q37" s="55">
        <f t="shared" si="57"/>
        <v>14.56</v>
      </c>
      <c r="R37" s="55">
        <f t="shared" si="58"/>
        <v>15.28</v>
      </c>
      <c r="S37" s="55">
        <f t="shared" si="59"/>
        <v>0.71999999999999886</v>
      </c>
      <c r="T37" s="76">
        <f t="shared" ref="T37:T38" si="60">O37*G37</f>
        <v>15.040000000000001</v>
      </c>
      <c r="U37" s="82">
        <f t="shared" ref="U37:U38" si="61">T37-Q37</f>
        <v>0.48000000000000043</v>
      </c>
      <c r="V37" s="26">
        <f t="shared" si="55"/>
        <v>63.036667582647929</v>
      </c>
      <c r="W37" s="128">
        <f t="shared" si="56"/>
        <v>3.1518333791323967E-2</v>
      </c>
    </row>
    <row r="38" spans="1:23" ht="15.75">
      <c r="A38" s="181"/>
      <c r="B38" s="99">
        <v>100</v>
      </c>
      <c r="C38" s="107">
        <v>25</v>
      </c>
      <c r="D38" s="97" t="s">
        <v>99</v>
      </c>
      <c r="E38" s="28">
        <v>0</v>
      </c>
      <c r="F38" s="29"/>
      <c r="G38" s="110">
        <v>4</v>
      </c>
      <c r="H38" s="30">
        <v>20</v>
      </c>
      <c r="I38" s="18">
        <f t="shared" si="35"/>
        <v>80</v>
      </c>
      <c r="J38" s="133">
        <f>$E$46*I38</f>
        <v>63.036667582647929</v>
      </c>
      <c r="K38" s="53">
        <f>References!$C$17*J38</f>
        <v>0.47277500686985946</v>
      </c>
      <c r="L38" s="54">
        <f>K38/References!$F$18</f>
        <v>0.48206684531327282</v>
      </c>
      <c r="M38" s="59">
        <f t="shared" si="36"/>
        <v>0.1205167113283182</v>
      </c>
      <c r="N38" s="113">
        <v>3.64</v>
      </c>
      <c r="O38" s="59">
        <f>MROUND(N38+M38,References!$E$28)</f>
        <v>3.7600000000000002</v>
      </c>
      <c r="P38" s="54">
        <v>3.82</v>
      </c>
      <c r="Q38" s="55">
        <f t="shared" si="57"/>
        <v>14.56</v>
      </c>
      <c r="R38" s="55">
        <f t="shared" si="58"/>
        <v>15.28</v>
      </c>
      <c r="S38" s="55">
        <f t="shared" si="59"/>
        <v>0.71999999999999886</v>
      </c>
      <c r="T38" s="76">
        <f t="shared" si="60"/>
        <v>15.040000000000001</v>
      </c>
      <c r="U38" s="82">
        <f t="shared" si="61"/>
        <v>0.48000000000000043</v>
      </c>
      <c r="V38" s="26">
        <f t="shared" si="55"/>
        <v>63.036667582647929</v>
      </c>
      <c r="W38" s="128">
        <f t="shared" si="56"/>
        <v>3.1518333791323967E-2</v>
      </c>
    </row>
    <row r="39" spans="1:23">
      <c r="A39" s="182"/>
      <c r="B39" s="91"/>
      <c r="C39" s="69"/>
      <c r="D39" s="68" t="s">
        <v>16</v>
      </c>
      <c r="E39" s="71"/>
      <c r="F39" s="71"/>
      <c r="G39" s="72">
        <f>SUM(G32:G38)</f>
        <v>3758.17</v>
      </c>
      <c r="H39" s="72">
        <f t="shared" ref="H39" si="62">SUM(H32:H38)</f>
        <v>142</v>
      </c>
      <c r="I39" s="72">
        <f>SUM(I32:I38)</f>
        <v>127592</v>
      </c>
      <c r="J39" s="135">
        <f>SUM(J32:J38)</f>
        <v>100537.18112756519</v>
      </c>
      <c r="K39" s="135">
        <f t="shared" ref="K39:V39" si="63">SUM(K32:K38)</f>
        <v>754.02885845673882</v>
      </c>
      <c r="L39" s="135">
        <f t="shared" si="63"/>
        <v>768.84841159013888</v>
      </c>
      <c r="M39" s="135">
        <f t="shared" si="63"/>
        <v>0.65079024117291839</v>
      </c>
      <c r="N39" s="135">
        <f t="shared" si="63"/>
        <v>22.67</v>
      </c>
      <c r="O39" s="135">
        <f t="shared" si="63"/>
        <v>23.310000000000006</v>
      </c>
      <c r="P39" s="135">
        <f t="shared" si="63"/>
        <v>23.799999999999997</v>
      </c>
      <c r="Q39" s="135">
        <f t="shared" si="63"/>
        <v>19607.065400000003</v>
      </c>
      <c r="R39" s="135">
        <f t="shared" si="63"/>
        <v>20588.804499999998</v>
      </c>
      <c r="S39" s="135">
        <f t="shared" si="63"/>
        <v>981.73909999999751</v>
      </c>
      <c r="T39" s="135">
        <f t="shared" si="63"/>
        <v>20357.625400000004</v>
      </c>
      <c r="U39" s="135">
        <f t="shared" si="63"/>
        <v>750.5600000000004</v>
      </c>
      <c r="V39" s="163">
        <f t="shared" si="63"/>
        <v>100537.18112756519</v>
      </c>
      <c r="W39" s="135">
        <f>SUM(W32:W38)</f>
        <v>50.268590563782595</v>
      </c>
    </row>
    <row r="40" spans="1:23" ht="15.75" thickBot="1">
      <c r="A40" s="77"/>
      <c r="B40" s="77"/>
      <c r="C40" s="77"/>
      <c r="D40" s="78" t="s">
        <v>3</v>
      </c>
      <c r="E40" s="136">
        <f>E39+E24+E17+E31</f>
        <v>2713.83</v>
      </c>
      <c r="F40" s="77"/>
      <c r="G40" s="136">
        <f>G39+G24+G17+G31</f>
        <v>63884.23638435208</v>
      </c>
      <c r="H40" s="136">
        <f>H39+H24+H17+H31</f>
        <v>1142</v>
      </c>
      <c r="I40" s="136">
        <f>I39+I24+I17+I31</f>
        <v>908677.47608801955</v>
      </c>
      <c r="J40" s="136">
        <f>J39+J24+J17+J31</f>
        <v>716000</v>
      </c>
      <c r="K40" s="136">
        <f t="shared" ref="K40:U40" si="64">K39+K52+K24+K17+K31</f>
        <v>6911.1283286440239</v>
      </c>
      <c r="L40" s="136">
        <f t="shared" si="64"/>
        <v>7046.9584528221712</v>
      </c>
      <c r="M40" s="136" t="e">
        <f t="shared" si="64"/>
        <v>#DIV/0!</v>
      </c>
      <c r="N40" s="136">
        <f t="shared" si="64"/>
        <v>173.62</v>
      </c>
      <c r="O40" s="136" t="e">
        <f t="shared" si="64"/>
        <v>#DIV/0!</v>
      </c>
      <c r="P40" s="136" t="e">
        <f t="shared" si="64"/>
        <v>#DIV/0!</v>
      </c>
      <c r="Q40" s="136">
        <f t="shared" si="64"/>
        <v>379310.94109877752</v>
      </c>
      <c r="R40" s="136">
        <f t="shared" si="64"/>
        <v>103702.30887163815</v>
      </c>
      <c r="S40" s="136">
        <f t="shared" si="64"/>
        <v>-275608.63222713937</v>
      </c>
      <c r="T40" s="136">
        <f t="shared" si="64"/>
        <v>140941.46117114916</v>
      </c>
      <c r="U40" s="136">
        <f t="shared" si="64"/>
        <v>-238369.47992762842</v>
      </c>
      <c r="V40" s="164">
        <f>V39+V24+V17+V31</f>
        <v>2000082.236705706</v>
      </c>
      <c r="W40" s="136">
        <f>W39+W24+W17+W31</f>
        <v>1000.0411183528532</v>
      </c>
    </row>
    <row r="41" spans="1:23" ht="26.45" customHeight="1" thickTop="1">
      <c r="D41" s="75"/>
      <c r="H41" s="9"/>
      <c r="I41" s="16"/>
      <c r="J41" s="6"/>
      <c r="O41" s="123"/>
      <c r="P41" s="21"/>
      <c r="Q41" s="124"/>
      <c r="R41" s="124"/>
      <c r="S41" s="124"/>
      <c r="T41" s="124"/>
      <c r="U41" s="125"/>
    </row>
    <row r="42" spans="1:23">
      <c r="E42" s="40" t="s">
        <v>106</v>
      </c>
      <c r="F42" s="20" t="s">
        <v>100</v>
      </c>
      <c r="H42" s="22"/>
      <c r="I42" s="38"/>
      <c r="J42" s="38"/>
      <c r="K42" s="39"/>
    </row>
    <row r="43" spans="1:23">
      <c r="D43" s="20" t="s">
        <v>32</v>
      </c>
      <c r="E43" s="40">
        <f>References!B22</f>
        <v>358</v>
      </c>
      <c r="F43" s="20">
        <v>136</v>
      </c>
      <c r="H43" s="22"/>
      <c r="I43" s="38"/>
      <c r="J43" s="38"/>
      <c r="K43" s="39"/>
      <c r="Q43" s="17"/>
      <c r="R43" s="39"/>
      <c r="S43" s="21"/>
    </row>
    <row r="44" spans="1:23">
      <c r="D44" s="20" t="s">
        <v>33</v>
      </c>
      <c r="E44" s="126">
        <f>E43*2000</f>
        <v>716000</v>
      </c>
      <c r="F44" s="126">
        <f>F43*2000</f>
        <v>272000</v>
      </c>
      <c r="H44" s="22"/>
      <c r="I44" s="38"/>
      <c r="J44" s="38"/>
      <c r="K44" s="39"/>
      <c r="Q44" s="17"/>
      <c r="R44" s="47"/>
      <c r="S44" s="21"/>
    </row>
    <row r="45" spans="1:23">
      <c r="D45" s="20" t="s">
        <v>5</v>
      </c>
      <c r="E45" s="126">
        <f>G39+G52+G24+G17+G31</f>
        <v>71554.236384352087</v>
      </c>
      <c r="H45" s="22"/>
      <c r="I45" s="38"/>
      <c r="J45" s="38"/>
      <c r="K45" s="39"/>
      <c r="Q45" s="21"/>
      <c r="R45" s="47"/>
      <c r="S45" s="21"/>
    </row>
    <row r="46" spans="1:23">
      <c r="D46" s="46" t="s">
        <v>11</v>
      </c>
      <c r="E46" s="15">
        <f>E44/I40</f>
        <v>0.78795834478309912</v>
      </c>
      <c r="F46" s="15"/>
      <c r="H46" s="22"/>
      <c r="I46" s="38"/>
      <c r="J46" s="19"/>
      <c r="K46" s="39"/>
      <c r="L46" s="21"/>
      <c r="M46" s="21"/>
      <c r="N46" s="12"/>
      <c r="Q46" s="17"/>
      <c r="R46" s="47"/>
      <c r="S46" s="21"/>
    </row>
    <row r="47" spans="1:23">
      <c r="D47" s="21"/>
      <c r="E47" s="21"/>
      <c r="F47" s="21"/>
      <c r="G47" s="1"/>
      <c r="H47" s="22"/>
      <c r="I47" s="38"/>
      <c r="J47" s="38"/>
      <c r="K47" s="39"/>
      <c r="L47" s="21"/>
      <c r="M47" s="21"/>
      <c r="N47" s="14"/>
      <c r="O47" s="12"/>
      <c r="P47" s="12"/>
      <c r="Q47" s="13"/>
      <c r="R47" s="13"/>
      <c r="S47" s="21"/>
    </row>
    <row r="48" spans="1:23">
      <c r="A48" s="177" t="s">
        <v>100</v>
      </c>
      <c r="B48" s="137"/>
      <c r="C48" s="138">
        <v>24</v>
      </c>
      <c r="D48" s="139" t="s">
        <v>102</v>
      </c>
      <c r="E48" s="140">
        <v>295</v>
      </c>
      <c r="F48" s="141">
        <v>2.1666666666666665</v>
      </c>
      <c r="G48" s="62">
        <f t="shared" ref="G48" si="65">E48*F48*12</f>
        <v>7670</v>
      </c>
      <c r="H48" s="142">
        <v>34</v>
      </c>
      <c r="I48" s="165">
        <f>G48*H48</f>
        <v>260780</v>
      </c>
      <c r="J48" s="166">
        <f>$E$46*I48</f>
        <v>205483.77715253658</v>
      </c>
      <c r="K48" s="165">
        <f>References!$C$17*J48</f>
        <v>1541.1283286440244</v>
      </c>
      <c r="L48" s="165">
        <f>K48/References!$F$18</f>
        <v>1571.4173990099409</v>
      </c>
      <c r="M48" s="165">
        <f>L48/G48</f>
        <v>0.20487840925814094</v>
      </c>
      <c r="N48" s="167">
        <v>5.33</v>
      </c>
      <c r="O48" s="165">
        <f>MROUND(N48+M48,References!$E$28)</f>
        <v>5.53</v>
      </c>
      <c r="P48" s="167">
        <v>0</v>
      </c>
      <c r="Q48" s="165">
        <f t="shared" ref="Q48" si="66">N48*G48</f>
        <v>40881.1</v>
      </c>
      <c r="R48" s="165">
        <f t="shared" ref="R48" si="67">P48*G48</f>
        <v>0</v>
      </c>
      <c r="S48" s="165">
        <f t="shared" ref="S48" si="68">R48-Q48</f>
        <v>-40881.1</v>
      </c>
      <c r="T48" s="165">
        <f>O48*G48</f>
        <v>42415.1</v>
      </c>
      <c r="U48" s="165">
        <f>T48-Q48</f>
        <v>1534</v>
      </c>
      <c r="V48" s="165">
        <f t="shared" ref="V48:V51" si="69">J48</f>
        <v>205483.77715253658</v>
      </c>
      <c r="W48" s="143">
        <f t="shared" ref="W48:W51" si="70">V48/2000</f>
        <v>102.74188857626829</v>
      </c>
    </row>
    <row r="49" spans="1:23" ht="15.75">
      <c r="A49" s="178"/>
      <c r="B49" s="92"/>
      <c r="C49" s="33"/>
      <c r="D49" s="116" t="s">
        <v>100</v>
      </c>
      <c r="E49" s="116"/>
      <c r="F49" s="116">
        <v>2.17</v>
      </c>
      <c r="G49" s="116">
        <f>E49*F49*12</f>
        <v>0</v>
      </c>
      <c r="H49" s="31">
        <v>34</v>
      </c>
      <c r="I49" s="25">
        <f>G49*H49</f>
        <v>0</v>
      </c>
      <c r="J49" s="147">
        <f>$E$46*I49</f>
        <v>0</v>
      </c>
      <c r="K49" s="25">
        <f>References!$C$17*J49</f>
        <v>0</v>
      </c>
      <c r="L49" s="25">
        <f>K49/References!$F$18</f>
        <v>0</v>
      </c>
      <c r="M49" s="25" t="e">
        <f t="shared" ref="M49" si="71">L49/G49</f>
        <v>#DIV/0!</v>
      </c>
      <c r="N49" s="127">
        <v>5.33</v>
      </c>
      <c r="O49" s="25" t="e">
        <f>MROUND(N49+M49,References!$E$28)</f>
        <v>#DIV/0!</v>
      </c>
      <c r="P49" s="127">
        <v>0</v>
      </c>
      <c r="Q49" s="25">
        <f t="shared" ref="Q49" si="72">N49*G49</f>
        <v>0</v>
      </c>
      <c r="R49" s="25">
        <f t="shared" ref="R49" si="73">P49*G49</f>
        <v>0</v>
      </c>
      <c r="S49" s="25">
        <f t="shared" ref="S49" si="74">R49-Q49</f>
        <v>0</v>
      </c>
      <c r="T49" s="25"/>
      <c r="U49" s="25">
        <f t="shared" ref="U49" si="75">T49-Q49</f>
        <v>0</v>
      </c>
      <c r="V49" s="25">
        <f t="shared" si="69"/>
        <v>0</v>
      </c>
      <c r="W49" s="144">
        <f t="shared" si="70"/>
        <v>0</v>
      </c>
    </row>
    <row r="50" spans="1:23">
      <c r="A50" s="178"/>
      <c r="B50" s="92"/>
      <c r="C50" s="33"/>
      <c r="D50" s="22"/>
      <c r="E50" s="23"/>
      <c r="F50" s="32"/>
      <c r="G50" s="62"/>
      <c r="H50" s="31"/>
      <c r="I50" s="25">
        <f t="shared" ref="I50" si="76">G50*H50</f>
        <v>0</v>
      </c>
      <c r="J50" s="147">
        <f>$E$46*I50</f>
        <v>0</v>
      </c>
      <c r="K50" s="25">
        <f>References!$C$17*J50</f>
        <v>0</v>
      </c>
      <c r="L50" s="25">
        <f>K50/References!$F$18</f>
        <v>0</v>
      </c>
      <c r="M50" s="25"/>
      <c r="N50" s="127"/>
      <c r="O50" s="25"/>
      <c r="P50" s="127"/>
      <c r="Q50" s="25"/>
      <c r="R50" s="25"/>
      <c r="S50" s="25"/>
      <c r="T50" s="25"/>
      <c r="U50" s="25"/>
      <c r="V50" s="25">
        <f t="shared" si="69"/>
        <v>0</v>
      </c>
      <c r="W50" s="144">
        <f t="shared" si="70"/>
        <v>0</v>
      </c>
    </row>
    <row r="51" spans="1:23">
      <c r="A51" s="178"/>
      <c r="B51" s="93"/>
      <c r="C51" s="35"/>
      <c r="D51" s="36"/>
      <c r="E51" s="2">
        <v>0</v>
      </c>
      <c r="F51" s="65"/>
      <c r="G51" s="63"/>
      <c r="H51" s="66"/>
      <c r="I51" s="37">
        <f>G51*H51</f>
        <v>0</v>
      </c>
      <c r="J51" s="168">
        <f>$E$46*I51</f>
        <v>0</v>
      </c>
      <c r="K51" s="25">
        <f>References!$C$17*J51</f>
        <v>0</v>
      </c>
      <c r="L51" s="37">
        <f>K51/References!$F$18</f>
        <v>0</v>
      </c>
      <c r="M51" s="37"/>
      <c r="N51" s="169"/>
      <c r="O51" s="25"/>
      <c r="P51" s="169"/>
      <c r="Q51" s="37"/>
      <c r="R51" s="37"/>
      <c r="S51" s="37"/>
      <c r="T51" s="37"/>
      <c r="U51" s="25"/>
      <c r="V51" s="25">
        <f t="shared" si="69"/>
        <v>0</v>
      </c>
      <c r="W51" s="144">
        <f t="shared" si="70"/>
        <v>0</v>
      </c>
    </row>
    <row r="52" spans="1:23">
      <c r="A52" s="179"/>
      <c r="B52" s="94"/>
      <c r="C52" s="121"/>
      <c r="D52" s="68" t="s">
        <v>16</v>
      </c>
      <c r="E52" s="122"/>
      <c r="F52" s="122"/>
      <c r="G52" s="170">
        <f>SUM(G48:G51)</f>
        <v>7670</v>
      </c>
      <c r="H52" s="73"/>
      <c r="I52" s="170">
        <f>SUM(I48:I51)</f>
        <v>260780</v>
      </c>
      <c r="J52" s="171">
        <f>SUM(J48:J51)</f>
        <v>205483.77715253658</v>
      </c>
      <c r="K52" s="171">
        <f t="shared" ref="K52:W52" si="77">SUM(K48:K51)</f>
        <v>1541.1283286440244</v>
      </c>
      <c r="L52" s="171">
        <f t="shared" si="77"/>
        <v>1571.4173990099409</v>
      </c>
      <c r="M52" s="171" t="e">
        <f t="shared" si="77"/>
        <v>#DIV/0!</v>
      </c>
      <c r="N52" s="171">
        <f t="shared" si="77"/>
        <v>10.66</v>
      </c>
      <c r="O52" s="171" t="e">
        <f t="shared" si="77"/>
        <v>#DIV/0!</v>
      </c>
      <c r="P52" s="171">
        <f t="shared" si="77"/>
        <v>0</v>
      </c>
      <c r="Q52" s="171">
        <f t="shared" si="77"/>
        <v>40881.1</v>
      </c>
      <c r="R52" s="171">
        <f t="shared" si="77"/>
        <v>0</v>
      </c>
      <c r="S52" s="171">
        <f t="shared" si="77"/>
        <v>-40881.1</v>
      </c>
      <c r="T52" s="171">
        <f t="shared" si="77"/>
        <v>42415.1</v>
      </c>
      <c r="U52" s="171">
        <f t="shared" si="77"/>
        <v>1534</v>
      </c>
      <c r="V52" s="171">
        <f t="shared" si="77"/>
        <v>205483.77715253658</v>
      </c>
      <c r="W52" s="134">
        <f t="shared" si="77"/>
        <v>102.74188857626829</v>
      </c>
    </row>
    <row r="53" spans="1:23">
      <c r="D53" s="21"/>
      <c r="E53" s="21"/>
      <c r="F53" s="21"/>
      <c r="O53" s="21"/>
      <c r="P53" s="21"/>
      <c r="Q53" s="21"/>
      <c r="R53" s="21"/>
    </row>
    <row r="54" spans="1:23">
      <c r="D54" s="21"/>
      <c r="E54" s="21"/>
      <c r="F54" s="21"/>
    </row>
    <row r="55" spans="1:23">
      <c r="D55" s="21"/>
      <c r="E55" s="21"/>
      <c r="F55" s="21"/>
      <c r="V55" s="20" t="s">
        <v>13</v>
      </c>
      <c r="W55" s="6">
        <f>W17+W39</f>
        <v>823.62418053059014</v>
      </c>
    </row>
    <row r="56" spans="1:23">
      <c r="D56" s="21"/>
      <c r="E56" s="21"/>
      <c r="F56" s="21"/>
      <c r="V56" s="20" t="s">
        <v>14</v>
      </c>
      <c r="W56" s="172">
        <f>W24+W31</f>
        <v>176.41693782226298</v>
      </c>
    </row>
    <row r="57" spans="1:23">
      <c r="D57" s="21"/>
      <c r="E57" s="21"/>
      <c r="F57" s="21"/>
      <c r="V57" s="20" t="s">
        <v>109</v>
      </c>
      <c r="W57" s="6">
        <f>SUM(W55:W56)</f>
        <v>1000.0411183528531</v>
      </c>
    </row>
    <row r="58" spans="1:23">
      <c r="V58" s="20" t="s">
        <v>100</v>
      </c>
      <c r="W58" s="6">
        <f>W52</f>
        <v>102.74188857626829</v>
      </c>
    </row>
  </sheetData>
  <mergeCells count="5">
    <mergeCell ref="A6:A17"/>
    <mergeCell ref="A18:A24"/>
    <mergeCell ref="A48:A52"/>
    <mergeCell ref="A32:A39"/>
    <mergeCell ref="A27:A31"/>
  </mergeCells>
  <pageMargins left="0.2" right="0.22" top="0.38" bottom="0.34" header="0.19" footer="0.17"/>
  <pageSetup scale="52" orientation="landscape" r:id="rId1"/>
  <headerFooter>
    <oddFooter>&amp;L&amp;F&amp;A&amp;R&amp;D</oddFoot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A99DA38EAF13C4C9ECCD5992B8BCAE8" ma:contentTypeVersion="76" ma:contentTypeDescription="" ma:contentTypeScope="" ma:versionID="6d86b80ee1df0f851e89b6912d52be27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a924c8152a3ca6d41f5defb10cfa585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TG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227</IndustryCode>
    <CaseStatus xmlns="dc463f71-b30c-4ab2-9473-d307f9d35888">Closed</CaseStatus>
    <OpenedDate xmlns="dc463f71-b30c-4ab2-9473-d307f9d35888">2018-09-14T07:00:00+00:00</OpenedDate>
    <SignificantOrder xmlns="dc463f71-b30c-4ab2-9473-d307f9d35888">false</SignificantOrder>
    <Date1 xmlns="dc463f71-b30c-4ab2-9473-d307f9d35888">2018-09-18T07:00:00+00:00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Freedom 2000, LLC</CaseCompanyNames>
    <Nickname xmlns="http://schemas.microsoft.com/sharepoint/v3" xsi:nil="true"/>
    <DocketNumber xmlns="dc463f71-b30c-4ab2-9473-d307f9d35888">180782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9BAD7A06-81F2-4D9C-AAFB-1A16BDC6B805}"/>
</file>

<file path=customXml/itemProps2.xml><?xml version="1.0" encoding="utf-8"?>
<ds:datastoreItem xmlns:ds="http://schemas.openxmlformats.org/officeDocument/2006/customXml" ds:itemID="{79C428B4-2B17-40A9-9660-88A85A4AB6EC}"/>
</file>

<file path=customXml/itemProps3.xml><?xml version="1.0" encoding="utf-8"?>
<ds:datastoreItem xmlns:ds="http://schemas.openxmlformats.org/officeDocument/2006/customXml" ds:itemID="{B66F11E6-442E-434B-BBEE-15FA783DC550}"/>
</file>

<file path=customXml/itemProps4.xml><?xml version="1.0" encoding="utf-8"?>
<ds:datastoreItem xmlns:ds="http://schemas.openxmlformats.org/officeDocument/2006/customXml" ds:itemID="{BBBC440A-AFD9-4D70-B955-D9E1F1804A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Notes</vt:lpstr>
      <vt:lpstr>References</vt:lpstr>
      <vt:lpstr>Staff calcs </vt:lpstr>
    </vt:vector>
  </TitlesOfParts>
  <Company>Washington Utilities and Transportation Commission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Young</dc:creator>
  <cp:lastModifiedBy>user</cp:lastModifiedBy>
  <cp:lastPrinted>2013-11-13T18:16:52Z</cp:lastPrinted>
  <dcterms:created xsi:type="dcterms:W3CDTF">2013-10-29T22:33:54Z</dcterms:created>
  <dcterms:modified xsi:type="dcterms:W3CDTF">2018-09-17T15:16:24Z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0x0101006E56B4D1795A2E4DB2F0B01679ED314A00FA99DA38EAF13C4C9ECCD5992B8BCAE8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