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465" yWindow="675" windowWidth="23925" windowHeight="1309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  <sheet name="Sheet1" sheetId="20" r:id="rId13"/>
  </sheets>
  <externalReferences>
    <externalReference r:id="rId14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8" l="1"/>
  <c r="C11" i="8"/>
  <c r="C14" i="16"/>
  <c r="C23" i="16"/>
  <c r="D17" i="13"/>
  <c r="D16" i="13"/>
  <c r="F14" i="18"/>
  <c r="C24" i="16"/>
  <c r="E19" i="3"/>
  <c r="D19" i="3"/>
  <c r="C21" i="16"/>
  <c r="C25" i="16"/>
  <c r="E52" i="13"/>
  <c r="D52" i="10"/>
  <c r="E50" i="13"/>
  <c r="D50" i="10"/>
  <c r="E46" i="13"/>
  <c r="D46" i="10"/>
  <c r="E47" i="13"/>
  <c r="D47" i="10"/>
  <c r="E39" i="13"/>
  <c r="D39" i="10"/>
  <c r="E35" i="13"/>
  <c r="D35" i="10"/>
  <c r="E26" i="13"/>
  <c r="D26" i="10"/>
  <c r="D22" i="10"/>
  <c r="E13" i="13"/>
  <c r="D13" i="10"/>
  <c r="E54" i="13"/>
  <c r="D54" i="10"/>
  <c r="D53" i="13"/>
  <c r="C53" i="13"/>
  <c r="E51" i="13"/>
  <c r="D51" i="10"/>
  <c r="E53" i="13"/>
  <c r="E48" i="13"/>
  <c r="D48" i="10"/>
  <c r="E45" i="13"/>
  <c r="D45" i="10"/>
  <c r="E44" i="13"/>
  <c r="D44" i="10"/>
  <c r="E43" i="13"/>
  <c r="D43" i="10"/>
  <c r="E38" i="13"/>
  <c r="D38" i="10"/>
  <c r="E37" i="13"/>
  <c r="D37" i="10"/>
  <c r="D36" i="13"/>
  <c r="C36" i="13"/>
  <c r="E34" i="13"/>
  <c r="D34" i="10"/>
  <c r="E33" i="13"/>
  <c r="D33" i="10"/>
  <c r="E32" i="13"/>
  <c r="C30" i="13"/>
  <c r="E29" i="13"/>
  <c r="D29" i="10"/>
  <c r="E27" i="13"/>
  <c r="D27" i="10"/>
  <c r="D23" i="13"/>
  <c r="D24" i="13"/>
  <c r="C23" i="13"/>
  <c r="C24" i="13"/>
  <c r="E21" i="13"/>
  <c r="E23" i="13"/>
  <c r="E20" i="13"/>
  <c r="D20" i="10"/>
  <c r="E19" i="13"/>
  <c r="D19" i="10"/>
  <c r="E18" i="13"/>
  <c r="D18" i="10"/>
  <c r="E17" i="13"/>
  <c r="D17" i="10"/>
  <c r="E16" i="13"/>
  <c r="D15" i="13"/>
  <c r="C15" i="13"/>
  <c r="E14" i="13"/>
  <c r="D14" i="10"/>
  <c r="E12" i="13"/>
  <c r="D12" i="10"/>
  <c r="E11" i="13"/>
  <c r="D11" i="10"/>
  <c r="E10" i="13"/>
  <c r="D10" i="10"/>
  <c r="E20" i="3"/>
  <c r="E9" i="13"/>
  <c r="D21" i="10"/>
  <c r="C25" i="13"/>
  <c r="E24" i="13"/>
  <c r="E36" i="13"/>
  <c r="D16" i="10"/>
  <c r="D25" i="13"/>
  <c r="D32" i="10"/>
  <c r="E15" i="13"/>
  <c r="D9" i="10"/>
  <c r="C31" i="13"/>
  <c r="C41" i="13"/>
  <c r="C56" i="13"/>
  <c r="C55" i="13"/>
  <c r="E25" i="13"/>
  <c r="D30" i="13"/>
  <c r="E28" i="13"/>
  <c r="C57" i="13"/>
  <c r="C49" i="13"/>
  <c r="C58" i="13"/>
  <c r="I42" i="12"/>
  <c r="G42" i="5"/>
  <c r="I23" i="12"/>
  <c r="G23" i="5"/>
  <c r="I28" i="12"/>
  <c r="G28" i="5"/>
  <c r="I13" i="12"/>
  <c r="G13" i="5"/>
  <c r="D36" i="12"/>
  <c r="C36" i="5"/>
  <c r="D29" i="12"/>
  <c r="C29" i="5"/>
  <c r="G46" i="12"/>
  <c r="C46" i="12"/>
  <c r="B46" i="12"/>
  <c r="D45" i="12"/>
  <c r="C45" i="5"/>
  <c r="E12" i="18"/>
  <c r="I44" i="12"/>
  <c r="G44" i="5"/>
  <c r="D44" i="12"/>
  <c r="C44" i="5"/>
  <c r="I43" i="12"/>
  <c r="G43" i="5"/>
  <c r="D43" i="12"/>
  <c r="C43" i="5"/>
  <c r="D42" i="12"/>
  <c r="C42" i="5"/>
  <c r="E11" i="18"/>
  <c r="I41" i="12"/>
  <c r="G41" i="5"/>
  <c r="D41" i="12"/>
  <c r="C41" i="5"/>
  <c r="E10" i="18"/>
  <c r="I40" i="12"/>
  <c r="G40" i="5"/>
  <c r="I39" i="12"/>
  <c r="G39" i="5"/>
  <c r="B38" i="12"/>
  <c r="H37" i="12"/>
  <c r="G37" i="12"/>
  <c r="D37" i="12"/>
  <c r="C37" i="5"/>
  <c r="I36" i="12"/>
  <c r="G36" i="5"/>
  <c r="I35" i="12"/>
  <c r="G35" i="5"/>
  <c r="D35" i="12"/>
  <c r="C35" i="5"/>
  <c r="I34" i="12"/>
  <c r="D33" i="12"/>
  <c r="C33" i="5"/>
  <c r="H32" i="12"/>
  <c r="G32" i="12"/>
  <c r="D32" i="12"/>
  <c r="C32" i="5"/>
  <c r="I31" i="12"/>
  <c r="G31" i="5"/>
  <c r="I30" i="12"/>
  <c r="G30" i="5"/>
  <c r="D30" i="12"/>
  <c r="C30" i="5"/>
  <c r="I29" i="12"/>
  <c r="G29" i="5"/>
  <c r="I27" i="12"/>
  <c r="G27" i="5"/>
  <c r="I26" i="12"/>
  <c r="G26" i="5"/>
  <c r="I25" i="12"/>
  <c r="G25" i="5"/>
  <c r="C25" i="12"/>
  <c r="B25" i="12"/>
  <c r="I24" i="12"/>
  <c r="G24" i="5"/>
  <c r="D24" i="12"/>
  <c r="C24" i="5"/>
  <c r="D23" i="12"/>
  <c r="C23" i="5"/>
  <c r="I22" i="12"/>
  <c r="D22" i="12"/>
  <c r="C22" i="5"/>
  <c r="D21" i="12"/>
  <c r="C21" i="5"/>
  <c r="E13" i="18"/>
  <c r="H20" i="12"/>
  <c r="G20" i="12"/>
  <c r="D20" i="12"/>
  <c r="C20" i="5"/>
  <c r="I19" i="12"/>
  <c r="G19" i="5"/>
  <c r="D19" i="12"/>
  <c r="C19" i="5"/>
  <c r="I18" i="12"/>
  <c r="G18" i="5"/>
  <c r="D18" i="12"/>
  <c r="C18" i="5"/>
  <c r="I17" i="12"/>
  <c r="G17" i="5"/>
  <c r="D17" i="12"/>
  <c r="C17" i="5"/>
  <c r="I16" i="12"/>
  <c r="G16" i="5"/>
  <c r="I15" i="12"/>
  <c r="G15" i="5"/>
  <c r="D15" i="12"/>
  <c r="C15" i="5"/>
  <c r="I14" i="12"/>
  <c r="G14" i="5"/>
  <c r="D14" i="12"/>
  <c r="C14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I37" i="12"/>
  <c r="I32" i="12"/>
  <c r="E15" i="18"/>
  <c r="C11" i="16"/>
  <c r="E30" i="13"/>
  <c r="E31" i="13"/>
  <c r="D28" i="10"/>
  <c r="D55" i="13"/>
  <c r="D56" i="13"/>
  <c r="D31" i="13"/>
  <c r="D40" i="13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/>
  <c r="E55" i="13"/>
  <c r="E40" i="13"/>
  <c r="E41" i="13"/>
  <c r="D41" i="13"/>
  <c r="I45" i="12"/>
  <c r="H46" i="12"/>
  <c r="H48" i="12"/>
  <c r="D34" i="12"/>
  <c r="C38" i="12"/>
  <c r="C48" i="12"/>
  <c r="D11" i="2"/>
  <c r="E58" i="13"/>
  <c r="D40" i="10"/>
  <c r="D57" i="13"/>
  <c r="D49" i="13"/>
  <c r="D58" i="13"/>
  <c r="I46" i="12"/>
  <c r="I48" i="12"/>
  <c r="G45" i="5"/>
  <c r="D38" i="12"/>
  <c r="D48" i="12"/>
  <c r="C34" i="5"/>
  <c r="D33" i="2"/>
  <c r="B38" i="2"/>
  <c r="E49" i="13"/>
  <c r="E57" i="13"/>
  <c r="E54" i="1"/>
  <c r="C53" i="1"/>
  <c r="E32" i="1"/>
  <c r="E33" i="1"/>
  <c r="C54" i="10"/>
  <c r="E52" i="1"/>
  <c r="C52" i="10"/>
  <c r="E51" i="1"/>
  <c r="C51" i="10"/>
  <c r="E50" i="1"/>
  <c r="C50" i="10"/>
  <c r="E43" i="1"/>
  <c r="C43" i="10"/>
  <c r="E44" i="1"/>
  <c r="C44" i="10"/>
  <c r="E45" i="1"/>
  <c r="C45" i="10"/>
  <c r="E46" i="1"/>
  <c r="C46" i="10"/>
  <c r="E47" i="1"/>
  <c r="C47" i="10"/>
  <c r="E48" i="1"/>
  <c r="C48" i="10"/>
  <c r="E38" i="1"/>
  <c r="C38" i="10"/>
  <c r="E39" i="1"/>
  <c r="C39" i="10"/>
  <c r="E37" i="1"/>
  <c r="C33" i="10"/>
  <c r="E34" i="1"/>
  <c r="E35" i="1"/>
  <c r="C35" i="10"/>
  <c r="C32" i="10"/>
  <c r="E27" i="1"/>
  <c r="E29" i="1"/>
  <c r="C29" i="10"/>
  <c r="E26" i="1"/>
  <c r="C26" i="10"/>
  <c r="E17" i="1"/>
  <c r="C17" i="10"/>
  <c r="E18" i="1"/>
  <c r="C18" i="10"/>
  <c r="E19" i="1"/>
  <c r="C19" i="10"/>
  <c r="E20" i="1"/>
  <c r="C20" i="10"/>
  <c r="E21" i="1"/>
  <c r="C21" i="10"/>
  <c r="C22" i="10"/>
  <c r="E16" i="1"/>
  <c r="C16" i="10"/>
  <c r="E10" i="1"/>
  <c r="E11" i="1"/>
  <c r="C11" i="10"/>
  <c r="E12" i="1"/>
  <c r="C12" i="10"/>
  <c r="E13" i="1"/>
  <c r="C13" i="10"/>
  <c r="E14" i="1"/>
  <c r="C14" i="10"/>
  <c r="E9" i="1"/>
  <c r="C9" i="10"/>
  <c r="D53" i="1"/>
  <c r="D36" i="1"/>
  <c r="C36" i="1"/>
  <c r="C30" i="1"/>
  <c r="D23" i="1"/>
  <c r="D24" i="1"/>
  <c r="C23" i="1"/>
  <c r="C24" i="1"/>
  <c r="D15" i="1"/>
  <c r="C15" i="1"/>
  <c r="C37" i="10"/>
  <c r="E36" i="1"/>
  <c r="D15" i="10"/>
  <c r="E21" i="3"/>
  <c r="C10" i="10"/>
  <c r="C55" i="1"/>
  <c r="C56" i="1"/>
  <c r="D53" i="10"/>
  <c r="D36" i="10"/>
  <c r="D23" i="10"/>
  <c r="D24" i="10"/>
  <c r="D25" i="1"/>
  <c r="C53" i="10"/>
  <c r="C27" i="10"/>
  <c r="E23" i="1"/>
  <c r="E24" i="1"/>
  <c r="C25" i="1"/>
  <c r="D30" i="10"/>
  <c r="C34" i="10"/>
  <c r="C36" i="10"/>
  <c r="C23" i="10"/>
  <c r="C24" i="10"/>
  <c r="E53" i="1"/>
  <c r="E15" i="1"/>
  <c r="I40" i="2"/>
  <c r="F40" i="5"/>
  <c r="I41" i="2"/>
  <c r="F41" i="5"/>
  <c r="I42" i="2"/>
  <c r="F42" i="5"/>
  <c r="I43" i="2"/>
  <c r="F43" i="5"/>
  <c r="I44" i="2"/>
  <c r="F44" i="5"/>
  <c r="I39" i="2"/>
  <c r="F39" i="5"/>
  <c r="I35" i="2"/>
  <c r="F35" i="5"/>
  <c r="I36" i="2"/>
  <c r="F36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2" i="2"/>
  <c r="D43" i="2"/>
  <c r="D44" i="2"/>
  <c r="D45" i="2"/>
  <c r="D41" i="2"/>
  <c r="B41" i="5"/>
  <c r="D10" i="18"/>
  <c r="F10" i="18"/>
  <c r="D35" i="2"/>
  <c r="D36" i="2"/>
  <c r="D37" i="2"/>
  <c r="D32" i="2"/>
  <c r="D30" i="2"/>
  <c r="D29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4" i="2"/>
  <c r="D15" i="2"/>
  <c r="D13" i="2"/>
  <c r="D10" i="2"/>
  <c r="B10" i="5"/>
  <c r="D12" i="8"/>
  <c r="C12" i="8"/>
  <c r="F10" i="8"/>
  <c r="E25" i="1"/>
  <c r="C15" i="10"/>
  <c r="C25" i="10"/>
  <c r="D20" i="3"/>
  <c r="D21" i="3"/>
  <c r="C31" i="1"/>
  <c r="C41" i="1"/>
  <c r="G46" i="5"/>
  <c r="C38" i="5"/>
  <c r="D56" i="10"/>
  <c r="D55" i="10"/>
  <c r="E12" i="8"/>
  <c r="F12" i="8"/>
  <c r="D25" i="10"/>
  <c r="D31" i="10"/>
  <c r="C13" i="16"/>
  <c r="C15" i="16"/>
  <c r="G37" i="5"/>
  <c r="G32" i="5"/>
  <c r="G20" i="5"/>
  <c r="C46" i="5"/>
  <c r="F37" i="5"/>
  <c r="F32" i="5"/>
  <c r="F20" i="5"/>
  <c r="F11" i="8"/>
  <c r="B42" i="5"/>
  <c r="D11" i="18"/>
  <c r="B43" i="5"/>
  <c r="B44" i="5"/>
  <c r="B45" i="5"/>
  <c r="D12" i="18"/>
  <c r="F12" i="18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/>
  <c r="C38" i="2"/>
  <c r="D46" i="2"/>
  <c r="B46" i="2"/>
  <c r="D25" i="2"/>
  <c r="B25" i="2"/>
  <c r="F11" i="18"/>
  <c r="D15" i="18"/>
  <c r="C10" i="16"/>
  <c r="E28" i="1"/>
  <c r="D30" i="1"/>
  <c r="H45" i="2"/>
  <c r="I45" i="2"/>
  <c r="F45" i="5"/>
  <c r="F46" i="5"/>
  <c r="F48" i="5"/>
  <c r="C49" i="1"/>
  <c r="C58" i="1"/>
  <c r="C57" i="1"/>
  <c r="D34" i="2"/>
  <c r="D41" i="10"/>
  <c r="D49" i="10"/>
  <c r="G48" i="2"/>
  <c r="B48" i="2"/>
  <c r="B46" i="5"/>
  <c r="G48" i="5"/>
  <c r="B25" i="5"/>
  <c r="C48" i="5"/>
  <c r="H46" i="2"/>
  <c r="H48" i="2"/>
  <c r="F15" i="18"/>
  <c r="D56" i="1"/>
  <c r="D55" i="1"/>
  <c r="D31" i="1"/>
  <c r="D40" i="1"/>
  <c r="C28" i="10"/>
  <c r="C30" i="10"/>
  <c r="E30" i="1"/>
  <c r="I46" i="2"/>
  <c r="I48" i="2"/>
  <c r="D57" i="10"/>
  <c r="C48" i="2"/>
  <c r="D58" i="10"/>
  <c r="E56" i="1"/>
  <c r="E55" i="1"/>
  <c r="E31" i="1"/>
  <c r="C56" i="10"/>
  <c r="C55" i="10"/>
  <c r="C31" i="10"/>
  <c r="E40" i="1"/>
  <c r="D38" i="2"/>
  <c r="D48" i="2"/>
  <c r="B34" i="5"/>
  <c r="B38" i="5"/>
  <c r="B48" i="5"/>
  <c r="E41" i="1"/>
  <c r="C12" i="16"/>
  <c r="C16" i="16"/>
  <c r="D41" i="1"/>
  <c r="D57" i="1"/>
  <c r="C40" i="10"/>
  <c r="C41" i="10"/>
  <c r="D58" i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<sst xmlns="http://schemas.openxmlformats.org/spreadsheetml/2006/main" count="659" uniqueCount="280">
  <si>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</si>
  <si>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</si>
  <si>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</si>
  <si>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</si>
  <si>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</si>
  <si>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</si>
  <si>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</si>
  <si>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</si>
  <si>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</si>
  <si>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</si>
  <si>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</si>
  <si>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</si>
  <si>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</si>
  <si>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</si>
  <si>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</si>
  <si>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</si>
  <si>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</si>
  <si>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</si>
  <si>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</si>
  <si>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</si>
  <si>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</si>
  <si>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</si>
  <si>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</si>
  <si>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</si>
  <si>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</si>
  <si>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</si>
  <si>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</si>
  <si>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</si>
  <si>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</si>
  <si>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</si>
  <si>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</si>
  <si>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</si>
  <si>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</si>
  <si>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</si>
  <si>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</si>
  <si>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</si>
  <si>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</si>
  <si>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</si>
  <si>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</si>
  <si>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</si>
  <si>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</si>
  <si>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</si>
  <si>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</si>
  <si>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</si>
  <si>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</si>
  <si>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</si>
  <si>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</si>
  <si>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</si>
  <si>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</si>
  <si>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</si>
  <si>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</si>
  <si>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</si>
  <si>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</si>
  <si>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</si>
  <si>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</si>
  <si>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</si>
  <si>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</si>
  <si>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</si>
  <si>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</si>
  <si>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</si>
  <si>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</si>
  <si>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</si>
  <si>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</si>
  <si>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</si>
  <si>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</si>
  <si>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</si>
  <si>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</si>
  <si>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</si>
  <si>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</si>
  <si>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</si>
  <si>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</si>
  <si>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</si>
  <si>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</si>
  <si>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</si>
  <si>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</si>
  <si>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</si>
  <si>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</si>
  <si>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</si>
  <si>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</si>
  <si>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</si>
  <si>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</si>
  <si>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</si>
  <si>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</si>
  <si>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</si>
  <si>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</si>
  <si>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</si>
  <si>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</si>
  <si>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</si>
  <si>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</si>
  <si>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</si>
  <si>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</si>
  <si>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</si>
  <si>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</si>
  <si>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</si>
  <si>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</si>
  <si>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</si>
  <si>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</si>
  <si>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</si>
  <si>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</si>
  <si>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</si>
  <si>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</si>
  <si>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</si>
  <si>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</si>
  <si>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</si>
  <si>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</si>
  <si>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</si>
  <si>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</si>
  <si>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</si>
  <si>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</si>
  <si>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</si>
  <si>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</si>
  <si>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</si>
  <si>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</si>
  <si>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</si>
  <si>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</si>
  <si>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</si>
  <si>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</si>
  <si>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</si>
  <si>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</si>
  <si>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</si>
  <si>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</si>
  <si>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</si>
  <si>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</si>
  <si>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</si>
  <si>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</si>
  <si>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</si>
  <si>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</si>
  <si>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</si>
  <si>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</si>
  <si>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</si>
  <si>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</si>
  <si>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</si>
  <si>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</si>
  <si>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</si>
  <si>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</si>
  <si>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</si>
  <si>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</si>
  <si>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</si>
  <si>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</si>
  <si>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</si>
  <si>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</si>
  <si>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</si>
  <si>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</si>
  <si>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</si>
  <si>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</si>
  <si>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</si>
  <si>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</si>
  <si>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</si>
  <si>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</si>
  <si>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</si>
  <si>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</si>
  <si>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</si>
  <si>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</si>
  <si>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</si>
  <si>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</si>
  <si>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</si>
  <si>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</si>
  <si>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</si>
  <si>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</si>
  <si>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</si>
  <si>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</si>
  <si>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</si>
  <si>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</si>
  <si>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</si>
  <si>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</si>
  <si>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</si>
  <si>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</si>
  <si>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</si>
  <si>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</si>
  <si>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</si>
  <si>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</si>
  <si>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</si>
  <si>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</si>
  <si>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</si>
  <si>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</si>
  <si>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</si>
  <si>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</si>
  <si>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</si>
  <si>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</si>
  <si>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</si>
  <si>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</si>
  <si>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</si>
  <si>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</si>
  <si>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</si>
  <si>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</si>
  <si>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</si>
  <si>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</si>
  <si>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</si>
  <si>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</si>
  <si>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</si>
  <si>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</si>
  <si>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</si>
  <si>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</si>
  <si>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</si>
  <si>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</si>
  <si>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</si>
  <si>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</si>
  <si>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</si>
  <si>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</si>
  <si>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</si>
  <si>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</si>
  <si>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</si>
  <si>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</si>
  <si>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</si>
  <si>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</si>
  <si>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</si>
  <si>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</si>
  <si>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</si>
  <si>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</si>
  <si>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</si>
  <si>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</si>
  <si>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</si>
  <si>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</si>
  <si>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</si>
  <si>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</si>
  <si>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</si>
  <si>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</si>
  <si>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</si>
  <si>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</si>
  <si>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</si>
  <si>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</si>
  <si>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</si>
  <si>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</si>
  <si>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</si>
  <si>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</si>
  <si>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</si>
  <si>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</si>
  <si>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</si>
  <si>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</si>
  <si>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</si>
  <si>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</si>
  <si>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</si>
  <si>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</si>
  <si>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</si>
  <si>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</si>
  <si>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</si>
  <si>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</si>
  <si>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</si>
  <si>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</si>
  <si>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</si>
  <si>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</si>
  <si>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</si>
  <si>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</si>
  <si>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</si>
  <si>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</si>
  <si>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</si>
  <si>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</si>
  <si>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</si>
  <si>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</si>
  <si>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</si>
  <si>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</si>
  <si>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</si>
  <si>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</si>
  <si>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</si>
  <si>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</si>
  <si>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</si>
  <si>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</si>
  <si>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</si>
  <si>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</si>
  <si>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</si>
  <si>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</si>
  <si>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</si>
  <si>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</si>
  <si>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</si>
  <si>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</si>
  <si>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</si>
  <si>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</si>
  <si>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WESTERN WAHKIAKUM COUNTY TELEPHONE COMPANY</t>
  </si>
  <si>
    <t>note, corrections were made to correct non-operating deferred FIT</t>
  </si>
  <si>
    <t xml:space="preserve"> as per Sept 2014 submittion</t>
  </si>
  <si>
    <t xml:space="preserve">    reflect reduction in CAF-ICC Support due to revision to 10/1/2010-09/30/11 base amount</t>
  </si>
  <si>
    <t>Description of Out-of-Period - 2013 (As Recorded)</t>
  </si>
  <si>
    <t xml:space="preserve">     Reduction to 2013 Interstate Access Revenue Recorded in 2015 (Account 2082) to</t>
  </si>
  <si>
    <t xml:space="preserve">    Reduction to 2014 Interstate Access Revenue Recorded in 2015 (Account 2082) to</t>
  </si>
  <si>
    <t xml:space="preserve">    Amount Booked in 2014 to Years Preceding 2014 </t>
  </si>
  <si>
    <t xml:space="preserve">    Reduction to 2014 Other Operating Taxes (Account 7240) to Reflect Allocation of </t>
  </si>
  <si>
    <t xml:space="preserve">    Increase to 2013 Other Operating Taxes (Account 7240) to Reflect Allocation of </t>
  </si>
  <si>
    <t xml:space="preserve">    Amount Booked in 2014 to 2013 </t>
  </si>
  <si>
    <r>
      <t xml:space="preserve">Source: </t>
    </r>
    <r>
      <rPr>
        <strike/>
        <sz val="11"/>
        <color theme="1"/>
        <rFont val="Calibri"/>
        <scheme val="minor"/>
      </rPr>
      <t xml:space="preserve"> Line 31 from</t>
    </r>
    <r>
      <rPr>
        <sz val="11"/>
        <color theme="1"/>
        <rFont val="Calibri"/>
        <family val="2"/>
        <scheme val="minor"/>
      </rPr>
      <t xml:space="preserve"> Out-of-Period</t>
    </r>
  </si>
  <si>
    <t>x 1-FIT rate (.35) = 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</si>
</sst>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11" xfId="0" applyBorder="1" applyProtection="1"/>
    <xf numFmtId="0" fontId="0" fillId="0" borderId="10" xfId="0" applyBorder="1" applyProtection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9" xfId="0" applyFill="1" applyBorder="1" applyProtection="1"/>
    <xf numFmtId="0" fontId="0" fillId="0" borderId="5" xfId="0" applyFill="1" applyBorder="1" applyProtection="1"/>
    <xf numFmtId="0" fontId="0" fillId="0" borderId="10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1" xfId="0" applyFill="1" applyBorder="1" applyProtection="1"/>
    <xf numFmtId="0" fontId="0" fillId="0" borderId="8" xfId="0" quotePrefix="1" applyFill="1" applyBorder="1" applyAlignment="1" applyProtection="1">
      <alignment horizontal="center"/>
    </xf>
    <xf numFmtId="0" fontId="0" fillId="0" borderId="10" xfId="0" applyFill="1" applyBorder="1" applyProtection="1"/>
    <xf numFmtId="0" fontId="1" fillId="0" borderId="10" xfId="0" applyFont="1" applyFill="1" applyBorder="1" applyAlignment="1" applyProtection="1">
      <alignment horizontal="left" indent="1"/>
    </xf>
    <xf numFmtId="37" fontId="0" fillId="0" borderId="10" xfId="0" applyNumberFormat="1" applyFill="1" applyBorder="1" applyProtection="1"/>
    <xf numFmtId="37" fontId="0" fillId="0" borderId="11" xfId="0" applyNumberFormat="1" applyFill="1" applyBorder="1" applyProtection="1">
      <protection locked="0"/>
    </xf>
    <xf numFmtId="0" fontId="1" fillId="0" borderId="10" xfId="0" applyFont="1" applyFill="1" applyBorder="1" applyProtection="1"/>
    <xf numFmtId="10" fontId="0" fillId="0" borderId="3" xfId="2" applyNumberFormat="1" applyFont="1" applyFill="1" applyBorder="1" applyProtection="1"/>
    <xf numFmtId="0" fontId="0" fillId="0" borderId="10" xfId="0" applyFill="1" applyBorder="1" applyAlignment="1" applyProtection="1">
      <alignment horizontal="left" indent="1"/>
    </xf>
    <xf numFmtId="37" fontId="0" fillId="0" borderId="7" xfId="0" applyNumberFormat="1" applyFill="1" applyBorder="1" applyProtection="1">
      <protection locked="0"/>
    </xf>
    <xf numFmtId="37" fontId="0" fillId="0" borderId="8" xfId="0" applyNumberFormat="1" applyFill="1" applyBorder="1" applyProtection="1">
      <protection locked="0"/>
    </xf>
    <xf numFmtId="0" fontId="1" fillId="0" borderId="11" xfId="0" applyFont="1" applyFill="1" applyBorder="1" applyAlignment="1" applyProtection="1">
      <alignment horizontal="left" indent="1"/>
    </xf>
    <xf numFmtId="0" fontId="0" fillId="0" borderId="0" xfId="0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ill="1" applyAlignment="1">
      <alignment horizontal="center"/>
    </xf>
    <xf numFmtId="0" fontId="7" fillId="0" borderId="0" xfId="0" applyFont="1" applyFill="1"/>
    <xf numFmtId="6" fontId="0" fillId="0" borderId="0" xfId="0" applyNumberFormat="1" applyFill="1"/>
    <xf numFmtId="0" fontId="0" fillId="0" borderId="1" xfId="0" applyBorder="1" applyAlignment="1">
      <alignment horizontal="center"/>
    </xf>
  </cellXfs>
  <cellStyles count="9">
    <cellStyle name="Comma" xfId="1" builtinId="3"/>
    <cellStyle name="Comma 12 2 2" xfId="3"/>
    <cellStyle name="Comma 2" xfId="4"/>
    <cellStyle name="Followed Hyperlink" xfId="6" builtinId="9" hidden="1"/>
    <cellStyle name="Followed Hyperlink" xfId="8" builtinId="9" hidden="1"/>
    <cellStyle name="Hyperlink" xfId="5" builtinId="8" hidden="1"/>
    <cellStyle name="Hyperlink" xfId="7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A25" sqref="A25"/>
    </sheetView>
  </sheetViews>
  <sheetFormatPr defaultColWidth="8.85546875" defaultRowHeight="15" x14ac:dyDescent="0.25"/>
  <cols>
    <col min="1" max="1" width="118.7109375" customWidth="1"/>
  </cols>
  <sheetData>
    <row r="13" spans="1:5" ht="23.25" x14ac:dyDescent="0.35">
      <c r="A13" s="108" t="s">
        <v>262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08" t="s">
        <v>263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08" t="s">
        <v>264</v>
      </c>
      <c r="B17" s="48"/>
      <c r="C17" s="48"/>
      <c r="D17" s="48"/>
      <c r="E17" s="4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opLeftCell="A5" workbookViewId="0">
      <selection activeCell="I26" sqref="I26"/>
    </sheetView>
  </sheetViews>
  <sheetFormatPr defaultColWidth="8.85546875" defaultRowHeight="15" x14ac:dyDescent="0.25"/>
  <cols>
    <col min="1" max="1" width="6.42578125" customWidth="1"/>
    <col min="2" max="2" width="36.42578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267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111271</v>
      </c>
      <c r="E9" s="56">
        <v>134624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278194</v>
      </c>
      <c r="E11" s="53">
        <v>156426</v>
      </c>
    </row>
    <row r="12" spans="1:5" x14ac:dyDescent="0.25">
      <c r="A12" s="11" t="s">
        <v>217</v>
      </c>
      <c r="B12" s="18" t="s">
        <v>259</v>
      </c>
      <c r="C12" s="11"/>
      <c r="D12" s="53">
        <v>590718</v>
      </c>
      <c r="E12" s="53">
        <v>831889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24668</v>
      </c>
      <c r="E14" s="53">
        <v>17051</v>
      </c>
    </row>
    <row r="15" spans="1:5" x14ac:dyDescent="0.25">
      <c r="A15" s="11" t="s">
        <v>219</v>
      </c>
      <c r="B15" s="18" t="s">
        <v>169</v>
      </c>
      <c r="C15" s="11"/>
      <c r="D15" s="53">
        <v>147940</v>
      </c>
      <c r="E15" s="53">
        <v>150292</v>
      </c>
    </row>
    <row r="16" spans="1:5" x14ac:dyDescent="0.25">
      <c r="A16" s="11">
        <v>4</v>
      </c>
      <c r="B16" s="18" t="s">
        <v>258</v>
      </c>
      <c r="C16" s="11" t="s">
        <v>171</v>
      </c>
      <c r="D16" s="53">
        <v>1884414</v>
      </c>
      <c r="E16" s="53">
        <v>1692086</v>
      </c>
    </row>
    <row r="17" spans="1:5" x14ac:dyDescent="0.25">
      <c r="A17" s="11">
        <v>5</v>
      </c>
      <c r="B17" s="18" t="s">
        <v>240</v>
      </c>
      <c r="C17" s="11"/>
      <c r="D17" s="53"/>
      <c r="E17" s="53">
        <v>126553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3037205</v>
      </c>
      <c r="E19" s="36">
        <f>E9+E11+E12+E14+E15+E16+E17+E18</f>
        <v>3108921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3037205</v>
      </c>
      <c r="E20" s="38">
        <f>IncomeStmtSummary!D10</f>
        <v>3108921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Revenue Detail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9"/>
  <sheetViews>
    <sheetView topLeftCell="A16" workbookViewId="0">
      <selection activeCell="A2" sqref="A2"/>
    </sheetView>
  </sheetViews>
  <sheetFormatPr defaultColWidth="8.85546875" defaultRowHeight="15" x14ac:dyDescent="0.25"/>
  <cols>
    <col min="1" max="1" width="73.42578125" customWidth="1"/>
    <col min="2" max="2" width="14.7109375" bestFit="1" customWidth="1"/>
    <col min="3" max="3" width="13.7109375" customWidth="1"/>
  </cols>
  <sheetData>
    <row r="2" spans="1:3" x14ac:dyDescent="0.25">
      <c r="A2" s="109"/>
    </row>
    <row r="3" spans="1:3" x14ac:dyDescent="0.25">
      <c r="A3" s="109"/>
    </row>
    <row r="4" spans="1:3" x14ac:dyDescent="0.25">
      <c r="A4" s="128" t="s">
        <v>244</v>
      </c>
      <c r="B4" s="131" t="s">
        <v>232</v>
      </c>
      <c r="C4" s="131"/>
    </row>
    <row r="5" spans="1:3" x14ac:dyDescent="0.25">
      <c r="A5" s="109"/>
      <c r="B5" s="48" t="s">
        <v>242</v>
      </c>
      <c r="C5" s="48" t="s">
        <v>243</v>
      </c>
    </row>
    <row r="6" spans="1:3" x14ac:dyDescent="0.25">
      <c r="A6" s="109" t="s">
        <v>233</v>
      </c>
      <c r="B6" s="109"/>
      <c r="C6" s="109"/>
    </row>
    <row r="7" spans="1:3" x14ac:dyDescent="0.25">
      <c r="A7" s="109"/>
      <c r="B7" s="109"/>
      <c r="C7" s="109"/>
    </row>
    <row r="8" spans="1:3" x14ac:dyDescent="0.25">
      <c r="A8" s="109" t="s">
        <v>273</v>
      </c>
      <c r="B8" s="109"/>
      <c r="C8" s="109"/>
    </row>
    <row r="9" spans="1:3" x14ac:dyDescent="0.25">
      <c r="A9" s="109" t="s">
        <v>270</v>
      </c>
      <c r="B9" s="130">
        <v>142470</v>
      </c>
      <c r="C9" s="109"/>
    </row>
    <row r="10" spans="1:3" x14ac:dyDescent="0.25">
      <c r="A10" s="109"/>
      <c r="B10" s="109"/>
      <c r="C10" s="109"/>
    </row>
    <row r="11" spans="1:3" x14ac:dyDescent="0.25">
      <c r="A11" s="109" t="s">
        <v>234</v>
      </c>
      <c r="B11" s="109"/>
      <c r="C11" s="109"/>
    </row>
    <row r="12" spans="1:3" x14ac:dyDescent="0.25">
      <c r="A12" s="109"/>
      <c r="B12" s="109"/>
      <c r="C12" s="109"/>
    </row>
    <row r="13" spans="1:3" x14ac:dyDescent="0.25">
      <c r="A13" s="109" t="s">
        <v>275</v>
      </c>
      <c r="B13" s="109"/>
      <c r="C13" s="109"/>
    </row>
    <row r="14" spans="1:3" x14ac:dyDescent="0.25">
      <c r="A14" s="109" t="s">
        <v>274</v>
      </c>
      <c r="B14" s="109"/>
      <c r="C14" s="130">
        <v>61418</v>
      </c>
    </row>
    <row r="15" spans="1:3" x14ac:dyDescent="0.25">
      <c r="A15" s="109"/>
      <c r="B15" s="109"/>
      <c r="C15" s="109"/>
    </row>
    <row r="16" spans="1:3" x14ac:dyDescent="0.25">
      <c r="A16" s="109" t="s">
        <v>235</v>
      </c>
      <c r="B16" s="109"/>
      <c r="C16" s="109"/>
    </row>
    <row r="17" spans="1:3" x14ac:dyDescent="0.25">
      <c r="A17" s="109"/>
      <c r="B17" s="109"/>
      <c r="C17" s="109"/>
    </row>
    <row r="18" spans="1:3" x14ac:dyDescent="0.25">
      <c r="A18" s="109"/>
      <c r="B18" s="109"/>
      <c r="C18" s="109"/>
    </row>
    <row r="19" spans="1:3" x14ac:dyDescent="0.25">
      <c r="A19" s="109"/>
      <c r="B19" s="109"/>
      <c r="C19" s="109"/>
    </row>
    <row r="20" spans="1:3" x14ac:dyDescent="0.25">
      <c r="A20" s="109"/>
      <c r="B20" s="109"/>
      <c r="C20" s="109"/>
    </row>
    <row r="21" spans="1:3" x14ac:dyDescent="0.25">
      <c r="A21" s="109" t="s">
        <v>245</v>
      </c>
      <c r="B21" s="109"/>
      <c r="C21" s="109"/>
    </row>
    <row r="22" spans="1:3" x14ac:dyDescent="0.25">
      <c r="A22" s="109"/>
      <c r="B22" s="109"/>
      <c r="C22" s="109"/>
    </row>
    <row r="23" spans="1:3" x14ac:dyDescent="0.25">
      <c r="A23" s="109"/>
      <c r="B23" s="109"/>
      <c r="C23" s="109"/>
    </row>
    <row r="24" spans="1:3" x14ac:dyDescent="0.25">
      <c r="A24" s="109"/>
      <c r="B24" s="109"/>
      <c r="C24" s="109"/>
    </row>
    <row r="25" spans="1:3" x14ac:dyDescent="0.25">
      <c r="A25" s="129"/>
      <c r="B25" s="109"/>
      <c r="C25" s="109"/>
    </row>
    <row r="26" spans="1:3" x14ac:dyDescent="0.25">
      <c r="A26" s="109"/>
      <c r="B26" s="109"/>
      <c r="C26" s="109"/>
    </row>
    <row r="27" spans="1:3" x14ac:dyDescent="0.25">
      <c r="A27" s="109"/>
      <c r="B27" s="109"/>
      <c r="C27" s="109"/>
    </row>
    <row r="28" spans="1:3" x14ac:dyDescent="0.25">
      <c r="A28" s="128" t="s">
        <v>271</v>
      </c>
      <c r="B28" s="109"/>
      <c r="C28" s="109"/>
    </row>
    <row r="29" spans="1:3" x14ac:dyDescent="0.25">
      <c r="A29" s="109"/>
      <c r="B29" s="109"/>
      <c r="C29" s="109"/>
    </row>
    <row r="30" spans="1:3" x14ac:dyDescent="0.25">
      <c r="A30" s="109" t="s">
        <v>233</v>
      </c>
      <c r="B30" s="109"/>
      <c r="C30" s="109"/>
    </row>
    <row r="31" spans="1:3" x14ac:dyDescent="0.25">
      <c r="A31" s="109"/>
      <c r="B31" s="109"/>
      <c r="C31" s="109"/>
    </row>
    <row r="32" spans="1:3" x14ac:dyDescent="0.25">
      <c r="A32" s="109" t="s">
        <v>272</v>
      </c>
      <c r="B32" s="109"/>
      <c r="C32" s="109"/>
    </row>
    <row r="33" spans="1:3" x14ac:dyDescent="0.25">
      <c r="A33" s="109" t="s">
        <v>270</v>
      </c>
      <c r="B33" s="130">
        <v>149396</v>
      </c>
      <c r="C33" s="109"/>
    </row>
    <row r="34" spans="1:3" x14ac:dyDescent="0.25">
      <c r="A34" s="109"/>
      <c r="B34" s="109"/>
      <c r="C34" s="109"/>
    </row>
    <row r="35" spans="1:3" x14ac:dyDescent="0.25">
      <c r="A35" s="109" t="s">
        <v>234</v>
      </c>
      <c r="B35" s="109"/>
      <c r="C35" s="109"/>
    </row>
    <row r="36" spans="1:3" x14ac:dyDescent="0.25">
      <c r="A36" s="109"/>
      <c r="B36" s="109"/>
      <c r="C36" s="109"/>
    </row>
    <row r="37" spans="1:3" x14ac:dyDescent="0.25">
      <c r="A37" s="109" t="s">
        <v>276</v>
      </c>
      <c r="B37" s="109"/>
      <c r="C37" s="109"/>
    </row>
    <row r="38" spans="1:3" x14ac:dyDescent="0.25">
      <c r="A38" s="109" t="s">
        <v>277</v>
      </c>
      <c r="B38" s="130">
        <v>14464</v>
      </c>
      <c r="C38" s="109"/>
    </row>
    <row r="39" spans="1:3" x14ac:dyDescent="0.25">
      <c r="A39" s="109"/>
      <c r="B39" s="109"/>
      <c r="C39" s="109"/>
    </row>
    <row r="40" spans="1:3" x14ac:dyDescent="0.25">
      <c r="A40" s="109" t="s">
        <v>235</v>
      </c>
      <c r="B40" s="109"/>
      <c r="C40" s="109"/>
    </row>
    <row r="41" spans="1:3" x14ac:dyDescent="0.25">
      <c r="A41" s="109"/>
      <c r="B41" s="109"/>
      <c r="C41" s="109"/>
    </row>
    <row r="42" spans="1:3" x14ac:dyDescent="0.25">
      <c r="A42" s="109"/>
      <c r="B42" s="109"/>
      <c r="C42" s="109"/>
    </row>
    <row r="43" spans="1:3" x14ac:dyDescent="0.25">
      <c r="A43" s="109"/>
      <c r="B43" s="109"/>
      <c r="C43" s="109"/>
    </row>
    <row r="44" spans="1:3" x14ac:dyDescent="0.25">
      <c r="A44" s="109"/>
      <c r="B44" s="109"/>
      <c r="C44" s="109"/>
    </row>
    <row r="45" spans="1:3" x14ac:dyDescent="0.25">
      <c r="A45" s="109" t="s">
        <v>245</v>
      </c>
      <c r="B45" s="109"/>
      <c r="C45" s="109"/>
    </row>
    <row r="46" spans="1:3" x14ac:dyDescent="0.25">
      <c r="A46" s="109"/>
      <c r="B46" s="109"/>
      <c r="C46" s="109"/>
    </row>
    <row r="47" spans="1:3" x14ac:dyDescent="0.25">
      <c r="A47" s="109"/>
      <c r="B47" s="109"/>
      <c r="C47" s="109"/>
    </row>
    <row r="48" spans="1:3" x14ac:dyDescent="0.25">
      <c r="A48" s="109"/>
      <c r="B48" s="109"/>
      <c r="C48" s="109"/>
    </row>
    <row r="49" spans="1:1" x14ac:dyDescent="0.25">
      <c r="A49" s="109"/>
    </row>
  </sheetData>
  <mergeCells count="1">
    <mergeCell ref="B4:C4"/>
  </mergeCells>
  <pageMargins left="1.2" right="0.7" top="1.25" bottom="0.75" header="0.8" footer="0.3"/>
  <pageSetup scale="60" orientation="landscape"/>
  <headerFooter>
    <oddHeader>&amp;L&amp;"-,Bold"State USF Petition Filing Requirement -WAC 480-123-110 (1)(e)
Out-of-Period Adjustments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workbookViewId="0">
      <selection activeCell="C7" sqref="B7:C29"/>
    </sheetView>
  </sheetViews>
  <sheetFormatPr defaultColWidth="8.85546875" defaultRowHeight="15" x14ac:dyDescent="0.25"/>
  <cols>
    <col min="1" max="1" width="5.85546875" style="75" customWidth="1"/>
    <col min="2" max="2" width="40.42578125" style="75" customWidth="1"/>
    <col min="3" max="3" width="13.85546875" style="75" customWidth="1"/>
    <col min="4" max="16384" width="8.85546875" style="75"/>
  </cols>
  <sheetData>
    <row r="3" spans="1:3" x14ac:dyDescent="0.25">
      <c r="B3" s="75" t="s">
        <v>191</v>
      </c>
    </row>
    <row r="4" spans="1:3" x14ac:dyDescent="0.25">
      <c r="B4" s="59" t="s">
        <v>267</v>
      </c>
      <c r="C4" s="68"/>
    </row>
    <row r="5" spans="1:3" x14ac:dyDescent="0.25">
      <c r="B5" s="68"/>
      <c r="C5" s="68"/>
    </row>
    <row r="7" spans="1:3" x14ac:dyDescent="0.25">
      <c r="A7" s="76"/>
      <c r="B7" s="110"/>
      <c r="C7" s="111"/>
    </row>
    <row r="8" spans="1:3" x14ac:dyDescent="0.25">
      <c r="A8" s="79" t="s">
        <v>0</v>
      </c>
      <c r="B8" s="112" t="s">
        <v>174</v>
      </c>
      <c r="C8" s="113">
        <v>2014</v>
      </c>
    </row>
    <row r="9" spans="1:3" x14ac:dyDescent="0.25">
      <c r="A9" s="78"/>
      <c r="B9" s="114"/>
      <c r="C9" s="115"/>
    </row>
    <row r="10" spans="1:3" x14ac:dyDescent="0.25">
      <c r="A10" s="87">
        <v>1</v>
      </c>
      <c r="B10" s="110" t="s">
        <v>265</v>
      </c>
      <c r="C10" s="95">
        <f>'RateBase '!D15</f>
        <v>4689556</v>
      </c>
    </row>
    <row r="11" spans="1:3" x14ac:dyDescent="0.25">
      <c r="A11" s="77">
        <v>2</v>
      </c>
      <c r="B11" s="116" t="s">
        <v>206</v>
      </c>
      <c r="C11" s="95">
        <f>'RateBase '!E15</f>
        <v>6538558</v>
      </c>
    </row>
    <row r="12" spans="1:3" x14ac:dyDescent="0.25">
      <c r="A12" s="77">
        <v>3</v>
      </c>
      <c r="B12" s="117" t="s">
        <v>207</v>
      </c>
      <c r="C12" s="103">
        <f>(C10+C11)/2</f>
        <v>5614057</v>
      </c>
    </row>
    <row r="13" spans="1:3" x14ac:dyDescent="0.25">
      <c r="A13" s="77">
        <v>4</v>
      </c>
      <c r="B13" s="116" t="s">
        <v>208</v>
      </c>
      <c r="C13" s="118">
        <f>IncomeStmtSummary!D31</f>
        <v>686714</v>
      </c>
    </row>
    <row r="14" spans="1:3" x14ac:dyDescent="0.25">
      <c r="A14" s="77">
        <v>5</v>
      </c>
      <c r="B14" s="116" t="s">
        <v>266</v>
      </c>
      <c r="C14" s="119">
        <f>(-OutofPeriodAdj!B9+OutofPeriodAdj!C14)*0.65</f>
        <v>-52683.8</v>
      </c>
    </row>
    <row r="15" spans="1:3" x14ac:dyDescent="0.25">
      <c r="A15" s="77">
        <v>6</v>
      </c>
      <c r="B15" s="120" t="s">
        <v>212</v>
      </c>
      <c r="C15" s="103">
        <f>C13+C14</f>
        <v>634030.19999999995</v>
      </c>
    </row>
    <row r="16" spans="1:3" x14ac:dyDescent="0.25">
      <c r="A16" s="77">
        <v>7</v>
      </c>
      <c r="B16" s="117" t="s">
        <v>209</v>
      </c>
      <c r="C16" s="121">
        <f>C15/C12</f>
        <v>0.11293618857093897</v>
      </c>
    </row>
    <row r="17" spans="1:7" x14ac:dyDescent="0.25">
      <c r="A17" s="77"/>
      <c r="B17" s="122"/>
      <c r="C17" s="83"/>
    </row>
    <row r="18" spans="1:7" x14ac:dyDescent="0.25">
      <c r="A18" s="77"/>
      <c r="B18" s="116"/>
      <c r="C18" s="95"/>
    </row>
    <row r="19" spans="1:7" x14ac:dyDescent="0.25">
      <c r="A19" s="77">
        <v>8</v>
      </c>
      <c r="B19" s="116" t="s">
        <v>213</v>
      </c>
      <c r="C19" s="123">
        <v>16533952</v>
      </c>
    </row>
    <row r="20" spans="1:7" x14ac:dyDescent="0.25">
      <c r="A20" s="77">
        <v>9</v>
      </c>
      <c r="B20" s="116" t="s">
        <v>214</v>
      </c>
      <c r="C20" s="124">
        <v>16917699</v>
      </c>
    </row>
    <row r="21" spans="1:7" x14ac:dyDescent="0.25">
      <c r="A21" s="77">
        <v>10</v>
      </c>
      <c r="B21" s="117" t="s">
        <v>210</v>
      </c>
      <c r="C21" s="103">
        <f t="shared" ref="C21" si="0">(C19+C20)/2</f>
        <v>16725825.5</v>
      </c>
    </row>
    <row r="22" spans="1:7" x14ac:dyDescent="0.25">
      <c r="A22" s="77">
        <v>11</v>
      </c>
      <c r="B22" s="116" t="s">
        <v>215</v>
      </c>
      <c r="C22" s="98">
        <v>960326</v>
      </c>
    </row>
    <row r="23" spans="1:7" x14ac:dyDescent="0.25">
      <c r="A23" s="77">
        <v>12</v>
      </c>
      <c r="B23" s="116" t="s">
        <v>237</v>
      </c>
      <c r="C23" s="119">
        <f>C14</f>
        <v>-52683.8</v>
      </c>
    </row>
    <row r="24" spans="1:7" x14ac:dyDescent="0.25">
      <c r="A24" s="77">
        <v>13</v>
      </c>
      <c r="B24" s="120" t="s">
        <v>220</v>
      </c>
      <c r="C24" s="103">
        <f>C22+C23</f>
        <v>907642.2</v>
      </c>
    </row>
    <row r="25" spans="1:7" x14ac:dyDescent="0.25">
      <c r="A25" s="88">
        <v>14</v>
      </c>
      <c r="B25" s="125" t="s">
        <v>211</v>
      </c>
      <c r="C25" s="121">
        <f>C24/C21</f>
        <v>5.426591351201171E-2</v>
      </c>
    </row>
    <row r="26" spans="1:7" x14ac:dyDescent="0.25">
      <c r="B26" s="92" t="s">
        <v>221</v>
      </c>
      <c r="C26" s="126"/>
      <c r="D26" s="68"/>
      <c r="E26" s="68"/>
      <c r="F26" s="68"/>
      <c r="G26" s="68"/>
    </row>
    <row r="27" spans="1:7" x14ac:dyDescent="0.25">
      <c r="A27" s="91" t="s">
        <v>176</v>
      </c>
      <c r="B27" s="92" t="s">
        <v>278</v>
      </c>
      <c r="C27" s="126"/>
      <c r="D27" s="68"/>
      <c r="E27" s="68"/>
      <c r="F27" s="68"/>
      <c r="G27" s="68"/>
    </row>
    <row r="28" spans="1:7" x14ac:dyDescent="0.25">
      <c r="B28" s="92" t="s">
        <v>261</v>
      </c>
      <c r="C28" s="126"/>
      <c r="D28" s="68"/>
      <c r="E28" s="68"/>
      <c r="F28" s="68"/>
      <c r="G28" s="68"/>
    </row>
    <row r="29" spans="1:7" x14ac:dyDescent="0.25">
      <c r="A29" s="68"/>
      <c r="B29" s="127" t="s">
        <v>279</v>
      </c>
      <c r="C29" s="126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29" workbookViewId="0">
      <selection activeCell="H53" sqref="H53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267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238</v>
      </c>
      <c r="E8" s="12"/>
      <c r="F8" s="9"/>
      <c r="G8" s="12" t="s">
        <v>122</v>
      </c>
      <c r="H8" s="12" t="s">
        <v>150</v>
      </c>
      <c r="I8" s="6" t="s">
        <v>238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1282175</v>
      </c>
      <c r="C10" s="57"/>
      <c r="D10" s="60">
        <f>SUM(B10:C10)</f>
        <v>1282175</v>
      </c>
      <c r="E10" s="18"/>
      <c r="F10" s="18" t="s">
        <v>78</v>
      </c>
      <c r="G10" s="53">
        <v>23363</v>
      </c>
      <c r="H10" s="57"/>
      <c r="I10" s="60">
        <f>SUM(G10:H10)</f>
        <v>23363</v>
      </c>
    </row>
    <row r="11" spans="1:9" x14ac:dyDescent="0.25">
      <c r="A11" s="18" t="s">
        <v>148</v>
      </c>
      <c r="B11" s="53">
        <v>278</v>
      </c>
      <c r="C11" s="57"/>
      <c r="D11" s="60">
        <f>SUM(B11:C11)</f>
        <v>278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18398</v>
      </c>
      <c r="H12" s="57"/>
      <c r="I12" s="60">
        <f t="shared" si="0"/>
        <v>18398</v>
      </c>
    </row>
    <row r="13" spans="1:9" x14ac:dyDescent="0.25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25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112300</v>
      </c>
      <c r="H14" s="57"/>
      <c r="I14" s="60">
        <f t="shared" si="0"/>
        <v>112300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25">
      <c r="A17" s="18" t="s">
        <v>44</v>
      </c>
      <c r="B17" s="53">
        <v>334361</v>
      </c>
      <c r="C17" s="57"/>
      <c r="D17" s="60">
        <f>SUM(B17:C17)</f>
        <v>334361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/>
      <c r="C18" s="57"/>
      <c r="D18" s="60">
        <f t="shared" ref="D18:D24" si="2">SUM(B18:C18)</f>
        <v>0</v>
      </c>
      <c r="E18" s="18"/>
      <c r="F18" s="18" t="s">
        <v>88</v>
      </c>
      <c r="G18" s="53">
        <v>50943</v>
      </c>
      <c r="H18" s="57"/>
      <c r="I18" s="60">
        <f t="shared" si="0"/>
        <v>50943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4061</v>
      </c>
      <c r="H19" s="67"/>
      <c r="I19" s="61">
        <f t="shared" si="0"/>
        <v>4061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209065</v>
      </c>
      <c r="H20" s="60">
        <f>SUM(H10:H19)</f>
        <v>0</v>
      </c>
      <c r="I20" s="60">
        <f t="shared" ref="I20" si="3">SUM(I10:I19)</f>
        <v>209065</v>
      </c>
    </row>
    <row r="21" spans="1:9" x14ac:dyDescent="0.25">
      <c r="A21" s="18" t="s">
        <v>49</v>
      </c>
      <c r="B21" s="53">
        <v>333112</v>
      </c>
      <c r="C21" s="55"/>
      <c r="D21" s="60">
        <f t="shared" si="2"/>
        <v>333112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555</v>
      </c>
      <c r="C22" s="57"/>
      <c r="D22" s="60">
        <f t="shared" si="2"/>
        <v>555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25">
      <c r="A23" s="18" t="s">
        <v>51</v>
      </c>
      <c r="B23" s="53">
        <v>21151</v>
      </c>
      <c r="C23" s="57"/>
      <c r="D23" s="60">
        <f t="shared" si="2"/>
        <v>21151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24358</v>
      </c>
      <c r="C24" s="67"/>
      <c r="D24" s="61">
        <f t="shared" si="2"/>
        <v>24358</v>
      </c>
      <c r="E24" s="18"/>
      <c r="F24" s="18" t="s">
        <v>94</v>
      </c>
      <c r="G24" s="53">
        <v>2093250</v>
      </c>
      <c r="H24" s="57"/>
      <c r="I24" s="60">
        <f t="shared" si="4"/>
        <v>2093250</v>
      </c>
    </row>
    <row r="25" spans="1:9" x14ac:dyDescent="0.25">
      <c r="A25" s="18" t="s">
        <v>41</v>
      </c>
      <c r="B25" s="60">
        <f>B10+B11+B13+B14+B15+B17+B18+B19+B20+B21+B22+B23+B24</f>
        <v>1995990</v>
      </c>
      <c r="C25" s="60">
        <f>C10+C11+C13+C14+C15+C17+C18+C19+C20+C21+C22+C23+C24</f>
        <v>0</v>
      </c>
      <c r="D25" s="60">
        <f t="shared" ref="D25" si="5">D10+D11+D13+D14+D15+D17+D18+D19+D20+D21+D22+D23+D24</f>
        <v>1995990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29695</v>
      </c>
      <c r="H30" s="57"/>
      <c r="I30" s="60">
        <f t="shared" si="4"/>
        <v>29695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2122945</v>
      </c>
      <c r="H32" s="60">
        <f>SUM(H22:H31)</f>
        <v>0</v>
      </c>
      <c r="I32" s="60">
        <f t="shared" ref="I32" si="6">SUM(I22:I31)</f>
        <v>2122945</v>
      </c>
    </row>
    <row r="33" spans="1:9" x14ac:dyDescent="0.25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/>
      <c r="C34" s="72">
        <f>-1*(C25+C29+C30+C32+C33+C35+C36+C37+C46)</f>
        <v>-783</v>
      </c>
      <c r="D34" s="60">
        <f t="shared" si="7"/>
        <v>-783</v>
      </c>
      <c r="E34" s="18"/>
      <c r="F34" s="18" t="s">
        <v>103</v>
      </c>
      <c r="G34" s="53"/>
      <c r="H34" s="57"/>
      <c r="I34" s="60">
        <f>SUM(G34:H34)</f>
        <v>0</v>
      </c>
    </row>
    <row r="35" spans="1:9" x14ac:dyDescent="0.25">
      <c r="A35" s="18" t="s">
        <v>62</v>
      </c>
      <c r="B35" s="53">
        <v>9189</v>
      </c>
      <c r="C35" s="57"/>
      <c r="D35" s="60">
        <f t="shared" si="7"/>
        <v>9189</v>
      </c>
      <c r="E35" s="18"/>
      <c r="F35" s="18" t="s">
        <v>151</v>
      </c>
      <c r="G35" s="53">
        <v>935704</v>
      </c>
      <c r="H35" s="53">
        <v>5</v>
      </c>
      <c r="I35" s="60">
        <f t="shared" ref="I35:I36" si="8">SUM(G35:H35)</f>
        <v>935709</v>
      </c>
    </row>
    <row r="36" spans="1:9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935704</v>
      </c>
      <c r="H37" s="60">
        <f t="shared" ref="H37:I37" si="9">SUM(H34:H36)</f>
        <v>5</v>
      </c>
      <c r="I37" s="60">
        <f t="shared" si="9"/>
        <v>935709</v>
      </c>
    </row>
    <row r="38" spans="1:9" x14ac:dyDescent="0.25">
      <c r="A38" s="18" t="s">
        <v>65</v>
      </c>
      <c r="B38" s="60">
        <f>B29+B30+B32+B33+B34+B35+B36+B37</f>
        <v>9189</v>
      </c>
      <c r="C38" s="60">
        <f>C29+C30+C32+C33+C34+C35+C36+C37</f>
        <v>-783</v>
      </c>
      <c r="D38" s="60">
        <f t="shared" ref="D38" si="10">D29+D30+D32+D33+D34+D35+D36+D37</f>
        <v>8406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54171</v>
      </c>
      <c r="H39" s="23"/>
      <c r="I39" s="60">
        <f>SUM(G39:H39)</f>
        <v>54171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279251</v>
      </c>
      <c r="H40" s="23"/>
      <c r="I40" s="60">
        <f t="shared" ref="I40:I45" si="11">SUM(G40:H40)</f>
        <v>279251</v>
      </c>
    </row>
    <row r="41" spans="1:9" x14ac:dyDescent="0.25">
      <c r="A41" s="18" t="s">
        <v>190</v>
      </c>
      <c r="B41" s="53">
        <v>18028553</v>
      </c>
      <c r="C41" s="53">
        <v>-45698</v>
      </c>
      <c r="D41" s="60">
        <f>SUM(B41:C41)</f>
        <v>17982855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25">
      <c r="A43" s="18" t="s">
        <v>69</v>
      </c>
      <c r="B43" s="53">
        <v>210768</v>
      </c>
      <c r="C43" s="53"/>
      <c r="D43" s="60">
        <f t="shared" si="12"/>
        <v>210768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25">
      <c r="A45" s="18" t="s">
        <v>121</v>
      </c>
      <c r="B45" s="54">
        <v>-12737183</v>
      </c>
      <c r="C45" s="54">
        <v>46481</v>
      </c>
      <c r="D45" s="61">
        <f t="shared" si="12"/>
        <v>-12690702</v>
      </c>
      <c r="E45" s="18"/>
      <c r="F45" s="18" t="s">
        <v>181</v>
      </c>
      <c r="G45" s="54">
        <v>3906181</v>
      </c>
      <c r="H45" s="96">
        <f>-1*(H20+H32+H37)</f>
        <v>-5</v>
      </c>
      <c r="I45" s="61">
        <f t="shared" si="11"/>
        <v>3906176</v>
      </c>
    </row>
    <row r="46" spans="1:9" x14ac:dyDescent="0.25">
      <c r="A46" s="18" t="s">
        <v>71</v>
      </c>
      <c r="B46" s="60">
        <f>B41+B42+B43+B44+B45</f>
        <v>5502138</v>
      </c>
      <c r="C46" s="60">
        <f t="shared" ref="C46:D46" si="13">C41+C42+C43+C44+C45</f>
        <v>783</v>
      </c>
      <c r="D46" s="60">
        <f t="shared" si="13"/>
        <v>5502921</v>
      </c>
      <c r="E46" s="18"/>
      <c r="F46" s="18" t="s">
        <v>114</v>
      </c>
      <c r="G46" s="60">
        <f>SUM(G39:G45)</f>
        <v>4239603</v>
      </c>
      <c r="H46" s="63">
        <f t="shared" ref="H46:I46" si="14">SUM(H39:H45)</f>
        <v>-5</v>
      </c>
      <c r="I46" s="60">
        <f t="shared" si="14"/>
        <v>4239598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246</v>
      </c>
      <c r="B48" s="62">
        <f>B25+B38+B46</f>
        <v>7507317</v>
      </c>
      <c r="C48" s="62">
        <f t="shared" ref="C48:D48" si="15">C25+C38+C46</f>
        <v>0</v>
      </c>
      <c r="D48" s="62">
        <f t="shared" si="15"/>
        <v>7507317</v>
      </c>
      <c r="E48" s="18"/>
      <c r="F48" s="22" t="s">
        <v>115</v>
      </c>
      <c r="G48" s="62">
        <f>G20+G32+G37+G46</f>
        <v>7507317</v>
      </c>
      <c r="H48" s="62">
        <f t="shared" ref="H48:I48" si="16">H20+H32+H37+H46</f>
        <v>0</v>
      </c>
      <c r="I48" s="62">
        <f t="shared" si="16"/>
        <v>7507317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249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/>
  <headerFooter>
    <oddHeader>&amp;L&amp;"-,Bold"State USF Petition Filing Requirement -WAC 480-123-110 (1)(e)
Prior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28" workbookViewId="0">
      <selection activeCell="H36" sqref="H36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267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239</v>
      </c>
      <c r="E8" s="12"/>
      <c r="F8" s="9"/>
      <c r="G8" s="12" t="s">
        <v>199</v>
      </c>
      <c r="H8" s="12" t="s">
        <v>200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1654260</v>
      </c>
      <c r="C10" s="57"/>
      <c r="D10" s="60">
        <f>SUM(B10:C10)</f>
        <v>1654260</v>
      </c>
      <c r="E10" s="18"/>
      <c r="F10" s="18" t="s">
        <v>78</v>
      </c>
      <c r="G10" s="53">
        <v>30705</v>
      </c>
      <c r="H10" s="57"/>
      <c r="I10" s="60">
        <f>SUM(G10:H10)</f>
        <v>30705</v>
      </c>
    </row>
    <row r="11" spans="1:9" x14ac:dyDescent="0.25">
      <c r="A11" s="18" t="s">
        <v>148</v>
      </c>
      <c r="B11" s="53">
        <v>279</v>
      </c>
      <c r="C11" s="57"/>
      <c r="D11" s="60">
        <f>SUM(B11:C11)</f>
        <v>279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20219</v>
      </c>
      <c r="H12" s="57"/>
      <c r="I12" s="60">
        <f t="shared" si="0"/>
        <v>20219</v>
      </c>
    </row>
    <row r="13" spans="1:9" x14ac:dyDescent="0.25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25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121900</v>
      </c>
      <c r="H14" s="57"/>
      <c r="I14" s="60">
        <f t="shared" si="0"/>
        <v>121900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25">
      <c r="A17" s="18" t="s">
        <v>44</v>
      </c>
      <c r="B17" s="53">
        <v>431710</v>
      </c>
      <c r="C17" s="57"/>
      <c r="D17" s="60">
        <f>SUM(B17:C17)</f>
        <v>431710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/>
      <c r="C18" s="57"/>
      <c r="D18" s="60">
        <f t="shared" ref="D18:D24" si="2">SUM(B18:C18)</f>
        <v>0</v>
      </c>
      <c r="E18" s="18"/>
      <c r="F18" s="18" t="s">
        <v>88</v>
      </c>
      <c r="G18" s="53">
        <v>48914</v>
      </c>
      <c r="H18" s="57"/>
      <c r="I18" s="60">
        <f t="shared" si="0"/>
        <v>48914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135886</v>
      </c>
      <c r="H19" s="67"/>
      <c r="I19" s="61">
        <f t="shared" si="0"/>
        <v>135886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357624</v>
      </c>
      <c r="H20" s="60">
        <f>SUM(H10:H19)</f>
        <v>0</v>
      </c>
      <c r="I20" s="60">
        <f t="shared" ref="I20" si="3">SUM(I10:I19)</f>
        <v>357624</v>
      </c>
    </row>
    <row r="21" spans="1:9" x14ac:dyDescent="0.25">
      <c r="A21" s="18" t="s">
        <v>49</v>
      </c>
      <c r="B21" s="53">
        <v>181904</v>
      </c>
      <c r="C21" s="55"/>
      <c r="D21" s="60">
        <f t="shared" si="2"/>
        <v>181904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190</v>
      </c>
      <c r="C22" s="57"/>
      <c r="D22" s="60">
        <f t="shared" si="2"/>
        <v>190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25">
      <c r="A23" s="18" t="s">
        <v>51</v>
      </c>
      <c r="B23" s="53">
        <v>13903</v>
      </c>
      <c r="C23" s="57"/>
      <c r="D23" s="60">
        <f t="shared" si="2"/>
        <v>13903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424208</v>
      </c>
      <c r="C24" s="67"/>
      <c r="D24" s="61">
        <f t="shared" si="2"/>
        <v>424208</v>
      </c>
      <c r="E24" s="18"/>
      <c r="F24" s="18" t="s">
        <v>94</v>
      </c>
      <c r="G24" s="53">
        <v>2301690</v>
      </c>
      <c r="H24" s="57"/>
      <c r="I24" s="60">
        <f t="shared" si="4"/>
        <v>2301690</v>
      </c>
    </row>
    <row r="25" spans="1:9" x14ac:dyDescent="0.25">
      <c r="A25" s="18" t="s">
        <v>41</v>
      </c>
      <c r="B25" s="60">
        <f>B10+B11+B13+B14+B15+B17+B18+B19+B20+B21+B22+B23+B24</f>
        <v>2706454</v>
      </c>
      <c r="C25" s="60">
        <f>C10+C11+C13+C14+C15+C17+C18+C19+C20+C21+C22+C23+C24</f>
        <v>0</v>
      </c>
      <c r="D25" s="60">
        <f t="shared" ref="D25" si="5">D10+D11+D13+D14+D15+D17+D18+D19+D20+D21+D22+D23+D24</f>
        <v>2706454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25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>
        <v>7071</v>
      </c>
      <c r="H30" s="57"/>
      <c r="I30" s="60">
        <f t="shared" si="4"/>
        <v>7071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2000000</v>
      </c>
      <c r="H31" s="67"/>
      <c r="I31" s="61">
        <f t="shared" si="4"/>
        <v>2000000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4308761</v>
      </c>
      <c r="H32" s="60">
        <f>SUM(H22:H31)</f>
        <v>0</v>
      </c>
      <c r="I32" s="60">
        <f t="shared" ref="I32" si="6">SUM(I22:I31)</f>
        <v>4308761</v>
      </c>
    </row>
    <row r="33" spans="1:11" x14ac:dyDescent="0.25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/>
      <c r="C34" s="72">
        <f>-1*(C25+C29+C30+C32+C33+C35+C36+C37+C46)</f>
        <v>3242</v>
      </c>
      <c r="D34" s="60">
        <f t="shared" si="7"/>
        <v>3242</v>
      </c>
      <c r="E34" s="18"/>
      <c r="F34" s="18" t="s">
        <v>103</v>
      </c>
      <c r="G34" s="53"/>
      <c r="H34" s="57"/>
      <c r="I34" s="60">
        <f>SUM(G34:H34)</f>
        <v>0</v>
      </c>
    </row>
    <row r="35" spans="1:11" x14ac:dyDescent="0.25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>
        <v>1418985</v>
      </c>
      <c r="H35" s="53">
        <v>94</v>
      </c>
      <c r="I35" s="60">
        <f t="shared" ref="I35:I36" si="8">SUM(G35:H35)</f>
        <v>1419079</v>
      </c>
    </row>
    <row r="36" spans="1:11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1418985</v>
      </c>
      <c r="H37" s="60">
        <f t="shared" ref="H37:I37" si="9">SUM(H34:H36)</f>
        <v>94</v>
      </c>
      <c r="I37" s="60">
        <f t="shared" si="9"/>
        <v>1419079</v>
      </c>
    </row>
    <row r="38" spans="1:11" x14ac:dyDescent="0.25">
      <c r="A38" s="18" t="s">
        <v>65</v>
      </c>
      <c r="B38" s="60">
        <f>B29+B30+B32+B33+B34+B35+B36+B37</f>
        <v>0</v>
      </c>
      <c r="C38" s="60">
        <f>C29+C30+C32+C33+C34+C35+C36+C37</f>
        <v>3242</v>
      </c>
      <c r="D38" s="60">
        <f t="shared" ref="D38" si="10">D29+D30+D32+D33+D34+D35+D36+D37</f>
        <v>3242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54171</v>
      </c>
      <c r="H39" s="23"/>
      <c r="I39" s="60">
        <f>SUM(G39:H39)</f>
        <v>54171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279251</v>
      </c>
      <c r="H40" s="23"/>
      <c r="I40" s="60">
        <f t="shared" ref="I40:I45" si="11">SUM(G40:H40)</f>
        <v>279251</v>
      </c>
    </row>
    <row r="41" spans="1:11" x14ac:dyDescent="0.25">
      <c r="A41" s="18" t="s">
        <v>190</v>
      </c>
      <c r="B41" s="53">
        <v>20280919</v>
      </c>
      <c r="C41" s="53">
        <v>-68166</v>
      </c>
      <c r="D41" s="60">
        <f>SUM(B41:C41)</f>
        <v>20212753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25">
      <c r="A43" s="18" t="s">
        <v>69</v>
      </c>
      <c r="B43" s="53">
        <v>62983</v>
      </c>
      <c r="C43" s="53"/>
      <c r="D43" s="60">
        <f t="shared" si="12"/>
        <v>62983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25">
      <c r="A45" s="18" t="s">
        <v>121</v>
      </c>
      <c r="B45" s="54">
        <v>-12501944</v>
      </c>
      <c r="C45" s="54">
        <v>64924</v>
      </c>
      <c r="D45" s="61">
        <f t="shared" si="12"/>
        <v>-12437020</v>
      </c>
      <c r="E45" s="18"/>
      <c r="F45" s="18" t="s">
        <v>181</v>
      </c>
      <c r="G45" s="54">
        <v>4129620</v>
      </c>
      <c r="H45" s="96">
        <f>-1*(H20+H32+H37)</f>
        <v>-94</v>
      </c>
      <c r="I45" s="61">
        <f t="shared" si="11"/>
        <v>4129526</v>
      </c>
    </row>
    <row r="46" spans="1:11" x14ac:dyDescent="0.25">
      <c r="A46" s="18" t="s">
        <v>71</v>
      </c>
      <c r="B46" s="60">
        <f>B41+B42+B43+B44+B45</f>
        <v>7841958</v>
      </c>
      <c r="C46" s="60">
        <f t="shared" ref="C46:D46" si="13">C41+C42+C43+C44+C45</f>
        <v>-3242</v>
      </c>
      <c r="D46" s="60">
        <f t="shared" si="13"/>
        <v>7838716</v>
      </c>
      <c r="E46" s="18"/>
      <c r="F46" s="18" t="s">
        <v>114</v>
      </c>
      <c r="G46" s="60">
        <f>SUM(G39:G45)</f>
        <v>4463042</v>
      </c>
      <c r="H46" s="63">
        <f t="shared" ref="H46:I46" si="14">SUM(H39:H45)</f>
        <v>-94</v>
      </c>
      <c r="I46" s="60">
        <f t="shared" si="14"/>
        <v>4462948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246</v>
      </c>
      <c r="B48" s="62">
        <f>B25+B38+B46</f>
        <v>10548412</v>
      </c>
      <c r="C48" s="62">
        <f t="shared" ref="C48:D48" si="15">C25+C38+C46</f>
        <v>0</v>
      </c>
      <c r="D48" s="62">
        <f t="shared" si="15"/>
        <v>10548412</v>
      </c>
      <c r="E48" s="18"/>
      <c r="F48" s="22" t="s">
        <v>115</v>
      </c>
      <c r="G48" s="62">
        <f>G20+G32+G37+G46</f>
        <v>10548412</v>
      </c>
      <c r="H48" s="62">
        <f t="shared" ref="H48:I48" si="16">H20+H32+H37+H46</f>
        <v>0</v>
      </c>
      <c r="I48" s="62">
        <f t="shared" si="16"/>
        <v>10548412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249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/>
  <headerFooter>
    <oddHeader>&amp;L&amp;"-,Bold"State USF Petition Filing Requirement -WAC 480-123-110(1)(e)
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workbookViewId="0">
      <selection activeCell="A4" sqref="A4"/>
    </sheetView>
  </sheetViews>
  <sheetFormatPr defaultColWidth="8.85546875"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267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1282175</v>
      </c>
      <c r="C10" s="33">
        <f>'CurrentYearBalanceSheet '!D10</f>
        <v>1654260</v>
      </c>
      <c r="D10" s="18"/>
      <c r="E10" s="18" t="s">
        <v>78</v>
      </c>
      <c r="F10" s="33">
        <f>PriorYearBalanceSheet!I10</f>
        <v>23363</v>
      </c>
      <c r="G10" s="33">
        <f>'CurrentYearBalanceSheet '!I10</f>
        <v>30705</v>
      </c>
    </row>
    <row r="11" spans="1:7" x14ac:dyDescent="0.25">
      <c r="A11" s="18" t="s">
        <v>148</v>
      </c>
      <c r="B11" s="33">
        <f>PriorYearBalanceSheet!D11</f>
        <v>278</v>
      </c>
      <c r="C11" s="33">
        <f>'CurrentYearBalanceSheet '!D11</f>
        <v>279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18398</v>
      </c>
      <c r="G12" s="33">
        <f>'CurrentYearBalanceSheet '!I12</f>
        <v>20219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112300</v>
      </c>
      <c r="G14" s="33">
        <f>'CurrentYearBalanceSheet '!I14</f>
        <v>121900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334361</v>
      </c>
      <c r="C17" s="33">
        <f>'CurrentYearBalanceSheet '!D17</f>
        <v>431710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50943</v>
      </c>
      <c r="G18" s="33">
        <f>'CurrentYearBalanceSheet '!I18</f>
        <v>48914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4061</v>
      </c>
      <c r="G19" s="33">
        <f>'CurrentYearBalanceSheet '!I19</f>
        <v>135886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209065</v>
      </c>
      <c r="G20" s="36">
        <f>SUM(G10:G19)</f>
        <v>357624</v>
      </c>
    </row>
    <row r="21" spans="1:7" x14ac:dyDescent="0.25">
      <c r="A21" s="18" t="s">
        <v>49</v>
      </c>
      <c r="B21" s="33">
        <f>PriorYearBalanceSheet!D21</f>
        <v>333112</v>
      </c>
      <c r="C21" s="33">
        <f>'CurrentYearBalanceSheet '!D21</f>
        <v>181904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555</v>
      </c>
      <c r="C22" s="33">
        <f>'CurrentYearBalanceSheet '!D22</f>
        <v>190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21151</v>
      </c>
      <c r="C23" s="33">
        <f>'CurrentYearBalanceSheet '!D23</f>
        <v>13903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24358</v>
      </c>
      <c r="C24" s="34">
        <f>'CurrentYearBalanceSheet '!D24</f>
        <v>424208</v>
      </c>
      <c r="D24" s="18"/>
      <c r="E24" s="18" t="s">
        <v>94</v>
      </c>
      <c r="F24" s="33">
        <f>PriorYearBalanceSheet!I24</f>
        <v>2093250</v>
      </c>
      <c r="G24" s="33">
        <f>'CurrentYearBalanceSheet '!I24</f>
        <v>2301690</v>
      </c>
    </row>
    <row r="25" spans="1:7" x14ac:dyDescent="0.25">
      <c r="A25" s="18" t="s">
        <v>41</v>
      </c>
      <c r="B25" s="33">
        <f>B10+B11+B13+B14+B15+B17+B18+B19+B20+B21+B22+B23+B24</f>
        <v>1995990</v>
      </c>
      <c r="C25" s="33">
        <f>C10+C11+C13+C14+C15+C17+C18+C19+C20+C21+C22+C23+C24</f>
        <v>2706454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29695</v>
      </c>
      <c r="G30" s="33">
        <f>'CurrentYearBalanceSheet '!I30</f>
        <v>7071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2000000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2122945</v>
      </c>
      <c r="G32" s="33">
        <f>SUM(G22:G31)</f>
        <v>4308761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-783</v>
      </c>
      <c r="C34" s="33">
        <f>'CurrentYearBalanceSheet '!D34</f>
        <v>3242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9189</v>
      </c>
      <c r="C35" s="33">
        <f>'CurrentYearBalanceSheet '!D35</f>
        <v>0</v>
      </c>
      <c r="D35" s="18"/>
      <c r="E35" s="18" t="s">
        <v>222</v>
      </c>
      <c r="F35" s="33">
        <f>PriorYearBalanceSheet!I35</f>
        <v>935709</v>
      </c>
      <c r="G35" s="33">
        <f>'CurrentYearBalanceSheet '!I35</f>
        <v>1419079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935709</v>
      </c>
      <c r="G37" s="33">
        <f>SUM(G34:G36)</f>
        <v>1419079</v>
      </c>
    </row>
    <row r="38" spans="1:7" x14ac:dyDescent="0.25">
      <c r="A38" s="18" t="s">
        <v>65</v>
      </c>
      <c r="B38" s="33">
        <f>B29+B30+B32+B33+B34+B35+B36+B37</f>
        <v>8406</v>
      </c>
      <c r="C38" s="33">
        <f>C29+C30+C32+C33+C34+C35+C36+C37</f>
        <v>3242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54171</v>
      </c>
      <c r="G39" s="33">
        <f>'CurrentYearBalanceSheet '!I39</f>
        <v>54171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279251</v>
      </c>
      <c r="G40" s="33">
        <f>'CurrentYearBalanceSheet '!I40</f>
        <v>279251</v>
      </c>
    </row>
    <row r="41" spans="1:7" x14ac:dyDescent="0.25">
      <c r="A41" s="18" t="s">
        <v>67</v>
      </c>
      <c r="B41" s="33">
        <f>PriorYearBalanceSheet!D41</f>
        <v>17982855</v>
      </c>
      <c r="C41" s="33">
        <f>'CurrentYearBalanceSheet '!D41</f>
        <v>20212753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210768</v>
      </c>
      <c r="C43" s="33">
        <f>'CurrentYearBalanceSheet '!D43</f>
        <v>62983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-12690702</v>
      </c>
      <c r="C45" s="34">
        <f>'CurrentYearBalanceSheet '!D45</f>
        <v>-12437020</v>
      </c>
      <c r="D45" s="18"/>
      <c r="E45" s="18" t="s">
        <v>113</v>
      </c>
      <c r="F45" s="34">
        <f>PriorYearBalanceSheet!I45</f>
        <v>3906176</v>
      </c>
      <c r="G45" s="34">
        <f>'CurrentYearBalanceSheet '!I45</f>
        <v>4129526</v>
      </c>
    </row>
    <row r="46" spans="1:7" x14ac:dyDescent="0.25">
      <c r="A46" s="18" t="s">
        <v>71</v>
      </c>
      <c r="B46" s="33">
        <f>SUM(B41:B45)</f>
        <v>5502921</v>
      </c>
      <c r="C46" s="33">
        <f>SUM(C41:C45)</f>
        <v>7838716</v>
      </c>
      <c r="D46" s="18"/>
      <c r="E46" s="18" t="s">
        <v>114</v>
      </c>
      <c r="F46" s="33">
        <f>SUM(F39:F45)</f>
        <v>4239598</v>
      </c>
      <c r="G46" s="33">
        <f>SUM(G39:G45)</f>
        <v>4462948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246</v>
      </c>
      <c r="B48" s="35">
        <f>B25+B38+B46</f>
        <v>7507317</v>
      </c>
      <c r="C48" s="35">
        <f>C25+C38+C46</f>
        <v>10548412</v>
      </c>
      <c r="D48" s="18"/>
      <c r="E48" s="22" t="s">
        <v>115</v>
      </c>
      <c r="F48" s="35">
        <f>F20+F32+F37+F46</f>
        <v>7507317</v>
      </c>
      <c r="G48" s="35">
        <f>G20+G32+G37+G46</f>
        <v>10548412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229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E15" sqref="E15"/>
    </sheetView>
  </sheetViews>
  <sheetFormatPr defaultColWidth="8.85546875"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17982855</v>
      </c>
      <c r="E10" s="60">
        <f>'BalanceSheet(Summary)'!C41</f>
        <v>20212753</v>
      </c>
      <c r="F10" s="60">
        <f>(D10+E10)/2</f>
        <v>19097804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-12690702</v>
      </c>
      <c r="E12" s="60">
        <f>'BalanceSheet(Summary)'!C45</f>
        <v>-12437020</v>
      </c>
      <c r="F12" s="60">
        <f t="shared" ref="F12:F15" si="0">(D12+E12)/2</f>
        <v>-12563861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333112</v>
      </c>
      <c r="E13" s="60">
        <f>'BalanceSheet(Summary)'!C21</f>
        <v>181904</v>
      </c>
      <c r="F13" s="60">
        <f t="shared" si="0"/>
        <v>257508</v>
      </c>
    </row>
    <row r="14" spans="1:6" x14ac:dyDescent="0.25">
      <c r="A14" s="11">
        <v>5</v>
      </c>
      <c r="B14" s="18" t="s">
        <v>132</v>
      </c>
      <c r="C14" s="20"/>
      <c r="D14" s="53">
        <v>-935709</v>
      </c>
      <c r="E14" s="53">
        <v>-1419079</v>
      </c>
      <c r="F14" s="60">
        <f t="shared" si="0"/>
        <v>-1177394</v>
      </c>
    </row>
    <row r="15" spans="1:6" ht="15.75" thickBot="1" x14ac:dyDescent="0.3">
      <c r="A15" s="12">
        <v>6</v>
      </c>
      <c r="B15" s="84" t="s">
        <v>185</v>
      </c>
      <c r="C15" s="86"/>
      <c r="D15" s="89">
        <f>SUM(D10:D14)</f>
        <v>4689556</v>
      </c>
      <c r="E15" s="64">
        <f>SUM(E10:E14)</f>
        <v>6538558</v>
      </c>
      <c r="F15" s="65">
        <f t="shared" si="0"/>
        <v>5614057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230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Rate Base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C10" sqref="C10"/>
    </sheetView>
  </sheetViews>
  <sheetFormatPr defaultColWidth="8.85546875"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826</v>
      </c>
      <c r="D10" s="53">
        <v>835</v>
      </c>
      <c r="E10" s="33">
        <f>D10-C10</f>
        <v>9</v>
      </c>
      <c r="F10" s="39">
        <f>E10/C10</f>
        <v>1.0895883777239709E-2</v>
      </c>
    </row>
    <row r="11" spans="1:6" x14ac:dyDescent="0.25">
      <c r="A11" s="11">
        <v>2</v>
      </c>
      <c r="B11" s="20" t="s">
        <v>140</v>
      </c>
      <c r="C11" s="53">
        <f>181+34</f>
        <v>215</v>
      </c>
      <c r="D11" s="53">
        <f>184+34</f>
        <v>218</v>
      </c>
      <c r="E11" s="33">
        <f>D11-C11</f>
        <v>3</v>
      </c>
      <c r="F11" s="39">
        <f t="shared" ref="F11:F12" si="0">E11/C11</f>
        <v>1.3953488372093023E-2</v>
      </c>
    </row>
    <row r="12" spans="1:6" ht="15.75" thickBot="1" x14ac:dyDescent="0.3">
      <c r="A12" s="12">
        <v>3</v>
      </c>
      <c r="B12" s="86" t="s">
        <v>141</v>
      </c>
      <c r="C12" s="35">
        <f>SUM(C10:C11)</f>
        <v>1041</v>
      </c>
      <c r="D12" s="35">
        <f t="shared" ref="D12:E12" si="1">SUM(D10:D11)</f>
        <v>1053</v>
      </c>
      <c r="E12" s="35">
        <f t="shared" si="1"/>
        <v>12</v>
      </c>
      <c r="F12" s="40">
        <f t="shared" si="0"/>
        <v>1.1527377521613832E-2</v>
      </c>
    </row>
    <row r="13" spans="1:6" ht="15.75" thickTop="1" x14ac:dyDescent="0.25">
      <c r="A13" s="10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Lines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opLeftCell="A35" workbookViewId="0">
      <selection activeCell="E23" sqref="E23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238</v>
      </c>
    </row>
    <row r="9" spans="1:6" x14ac:dyDescent="0.25">
      <c r="A9" s="10">
        <v>1</v>
      </c>
      <c r="B9" s="4" t="s">
        <v>1</v>
      </c>
      <c r="C9" s="56">
        <v>219575</v>
      </c>
      <c r="D9" s="53"/>
      <c r="E9" s="60">
        <f>SUM(C9:D9)</f>
        <v>219575</v>
      </c>
    </row>
    <row r="10" spans="1:6" x14ac:dyDescent="0.25">
      <c r="A10" s="11">
        <v>2</v>
      </c>
      <c r="B10" s="15" t="s">
        <v>2</v>
      </c>
      <c r="C10" s="53">
        <v>3037205</v>
      </c>
      <c r="D10" s="53"/>
      <c r="E10" s="60">
        <f t="shared" ref="E10:E14" si="0">SUM(C10:D10)</f>
        <v>3037205</v>
      </c>
    </row>
    <row r="11" spans="1:6" x14ac:dyDescent="0.25">
      <c r="A11" s="11">
        <v>3</v>
      </c>
      <c r="B11" s="15" t="s">
        <v>3</v>
      </c>
      <c r="C11" s="53"/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22142</v>
      </c>
      <c r="D12" s="53"/>
      <c r="E12" s="60">
        <f t="shared" si="0"/>
        <v>22142</v>
      </c>
    </row>
    <row r="13" spans="1:6" x14ac:dyDescent="0.25">
      <c r="A13" s="11">
        <v>5</v>
      </c>
      <c r="B13" s="15" t="s">
        <v>5</v>
      </c>
      <c r="C13" s="53"/>
      <c r="D13" s="53"/>
      <c r="E13" s="60">
        <f t="shared" si="0"/>
        <v>0</v>
      </c>
    </row>
    <row r="14" spans="1:6" x14ac:dyDescent="0.25">
      <c r="A14" s="11">
        <v>6</v>
      </c>
      <c r="B14" s="15" t="s">
        <v>159</v>
      </c>
      <c r="C14" s="53">
        <v>-185</v>
      </c>
      <c r="D14" s="53"/>
      <c r="E14" s="60">
        <f t="shared" si="0"/>
        <v>-185</v>
      </c>
    </row>
    <row r="15" spans="1:6" x14ac:dyDescent="0.25">
      <c r="A15" s="11">
        <v>7</v>
      </c>
      <c r="B15" s="90" t="s">
        <v>158</v>
      </c>
      <c r="C15" s="99">
        <f>SUM(C9:C14)</f>
        <v>3278737</v>
      </c>
      <c r="D15" s="99">
        <f t="shared" ref="D15:E15" si="1">SUM(D9:D14)</f>
        <v>0</v>
      </c>
      <c r="E15" s="99">
        <f t="shared" si="1"/>
        <v>3278737</v>
      </c>
      <c r="F15" s="1"/>
    </row>
    <row r="16" spans="1:6" x14ac:dyDescent="0.25">
      <c r="A16" s="11">
        <v>8</v>
      </c>
      <c r="B16" s="15" t="s">
        <v>6</v>
      </c>
      <c r="C16" s="53">
        <v>465023</v>
      </c>
      <c r="D16" s="53">
        <v>-167</v>
      </c>
      <c r="E16" s="42">
        <f>SUM(C16:D16)</f>
        <v>464856</v>
      </c>
    </row>
    <row r="17" spans="1:6" x14ac:dyDescent="0.25">
      <c r="A17" s="11">
        <v>9</v>
      </c>
      <c r="B17" s="15" t="s">
        <v>40</v>
      </c>
      <c r="C17" s="53">
        <v>582320</v>
      </c>
      <c r="D17" s="53"/>
      <c r="E17" s="42">
        <f t="shared" ref="E17:E21" si="2">SUM(C17:D17)</f>
        <v>582320</v>
      </c>
    </row>
    <row r="18" spans="1:6" x14ac:dyDescent="0.25">
      <c r="A18" s="11">
        <v>10</v>
      </c>
      <c r="B18" s="15" t="s">
        <v>7</v>
      </c>
      <c r="C18" s="53">
        <v>604736</v>
      </c>
      <c r="D18" s="53">
        <v>-1846</v>
      </c>
      <c r="E18" s="42">
        <f t="shared" si="2"/>
        <v>602890</v>
      </c>
    </row>
    <row r="19" spans="1:6" x14ac:dyDescent="0.25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144091</v>
      </c>
      <c r="D20" s="53"/>
      <c r="E20" s="42">
        <f t="shared" si="2"/>
        <v>144091</v>
      </c>
    </row>
    <row r="21" spans="1:6" x14ac:dyDescent="0.25">
      <c r="A21" s="11">
        <v>13</v>
      </c>
      <c r="B21" s="15" t="s">
        <v>10</v>
      </c>
      <c r="C21" s="53">
        <v>910916</v>
      </c>
      <c r="D21" s="53">
        <v>0</v>
      </c>
      <c r="E21" s="42">
        <f t="shared" si="2"/>
        <v>910916</v>
      </c>
    </row>
    <row r="22" spans="1:6" x14ac:dyDescent="0.25">
      <c r="A22" s="11" t="s">
        <v>154</v>
      </c>
      <c r="B22" s="15" t="s">
        <v>160</v>
      </c>
      <c r="C22" s="100"/>
      <c r="D22" s="100"/>
      <c r="E22" s="82">
        <v>-60457</v>
      </c>
      <c r="F22" s="48" t="s">
        <v>247</v>
      </c>
    </row>
    <row r="23" spans="1:6" x14ac:dyDescent="0.25">
      <c r="A23" s="11" t="s">
        <v>155</v>
      </c>
      <c r="B23" s="13" t="s">
        <v>156</v>
      </c>
      <c r="C23" s="80">
        <f>SUM(C21:C22)</f>
        <v>910916</v>
      </c>
      <c r="D23" s="60">
        <f t="shared" ref="D23:E23" si="3">SUM(D21:D22)</f>
        <v>0</v>
      </c>
      <c r="E23" s="81">
        <f t="shared" si="3"/>
        <v>850459</v>
      </c>
    </row>
    <row r="24" spans="1:6" x14ac:dyDescent="0.25">
      <c r="A24" s="11">
        <v>14</v>
      </c>
      <c r="B24" s="85" t="s">
        <v>157</v>
      </c>
      <c r="C24" s="99">
        <f>C16+C17+C18+C19+C20+C23</f>
        <v>2707086</v>
      </c>
      <c r="D24" s="99">
        <f t="shared" ref="D24:E24" si="4">D16+D17+D18+D19+D20+D23</f>
        <v>-2013</v>
      </c>
      <c r="E24" s="101">
        <f t="shared" si="4"/>
        <v>2644616</v>
      </c>
      <c r="F24" s="1"/>
    </row>
    <row r="25" spans="1:6" x14ac:dyDescent="0.25">
      <c r="A25" s="11">
        <v>15</v>
      </c>
      <c r="B25" s="15" t="s">
        <v>14</v>
      </c>
      <c r="C25" s="60">
        <f>C15-C24</f>
        <v>571651</v>
      </c>
      <c r="D25" s="60">
        <f t="shared" ref="D25:E25" si="5">D15-D24</f>
        <v>2013</v>
      </c>
      <c r="E25" s="60">
        <f t="shared" si="5"/>
        <v>634121</v>
      </c>
    </row>
    <row r="26" spans="1:6" x14ac:dyDescent="0.25">
      <c r="A26" s="11">
        <v>16</v>
      </c>
      <c r="B26" s="15" t="s">
        <v>161</v>
      </c>
      <c r="C26" s="53"/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57000</v>
      </c>
      <c r="D27" s="53"/>
      <c r="E27" s="60">
        <f t="shared" ref="E27:E29" si="6">SUM(C27:D27)</f>
        <v>57000</v>
      </c>
    </row>
    <row r="28" spans="1:6" x14ac:dyDescent="0.25">
      <c r="A28" s="11">
        <v>18</v>
      </c>
      <c r="B28" s="15" t="s">
        <v>241</v>
      </c>
      <c r="C28" s="53">
        <v>164390</v>
      </c>
      <c r="D28" s="98">
        <v>32298</v>
      </c>
      <c r="E28" s="60">
        <f t="shared" si="6"/>
        <v>196688</v>
      </c>
    </row>
    <row r="29" spans="1:6" x14ac:dyDescent="0.25">
      <c r="A29" s="11">
        <v>19</v>
      </c>
      <c r="B29" s="15" t="s">
        <v>13</v>
      </c>
      <c r="C29" s="53"/>
      <c r="D29" s="53"/>
      <c r="E29" s="60">
        <f t="shared" si="6"/>
        <v>0</v>
      </c>
    </row>
    <row r="30" spans="1:6" x14ac:dyDescent="0.25">
      <c r="A30" s="11">
        <v>20</v>
      </c>
      <c r="B30" s="90" t="s">
        <v>12</v>
      </c>
      <c r="C30" s="80">
        <f>SUM(C27:C29)</f>
        <v>221390</v>
      </c>
      <c r="D30" s="80">
        <f t="shared" ref="D30:E30" si="7">SUM(D27:D29)</f>
        <v>32298</v>
      </c>
      <c r="E30" s="102">
        <f t="shared" si="7"/>
        <v>253688</v>
      </c>
    </row>
    <row r="31" spans="1:6" x14ac:dyDescent="0.25">
      <c r="A31" s="11">
        <v>21</v>
      </c>
      <c r="B31" s="90" t="s">
        <v>23</v>
      </c>
      <c r="C31" s="80">
        <f>C25+C26-C30</f>
        <v>350261</v>
      </c>
      <c r="D31" s="80">
        <f>D25+D26-D30</f>
        <v>-30285</v>
      </c>
      <c r="E31" s="102">
        <f>E25+E26-E30</f>
        <v>380433</v>
      </c>
    </row>
    <row r="32" spans="1:6" x14ac:dyDescent="0.25">
      <c r="A32" s="11">
        <v>22</v>
      </c>
      <c r="B32" s="15" t="s">
        <v>15</v>
      </c>
      <c r="C32" s="53">
        <v>37304</v>
      </c>
      <c r="D32" s="57"/>
      <c r="E32" s="60">
        <f>SUM(C32:D32)</f>
        <v>37304</v>
      </c>
    </row>
    <row r="33" spans="1:10" x14ac:dyDescent="0.25">
      <c r="A33" s="11">
        <v>23</v>
      </c>
      <c r="B33" s="15" t="s">
        <v>16</v>
      </c>
      <c r="C33" s="53"/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1089</v>
      </c>
      <c r="D34" s="57"/>
      <c r="E34" s="60">
        <f t="shared" si="8"/>
        <v>1089</v>
      </c>
    </row>
    <row r="35" spans="1:10" x14ac:dyDescent="0.25">
      <c r="A35" s="11">
        <v>25</v>
      </c>
      <c r="B35" s="15" t="s">
        <v>175</v>
      </c>
      <c r="C35" s="53">
        <v>-9469</v>
      </c>
      <c r="D35" s="57"/>
      <c r="E35" s="61">
        <f t="shared" si="8"/>
        <v>-9469</v>
      </c>
    </row>
    <row r="36" spans="1:10" x14ac:dyDescent="0.25">
      <c r="A36" s="11">
        <v>26</v>
      </c>
      <c r="B36" s="90" t="s">
        <v>18</v>
      </c>
      <c r="C36" s="80">
        <f>SUM(C32:C35)</f>
        <v>28924</v>
      </c>
      <c r="D36" s="103">
        <f t="shared" ref="D36" si="9">SUM(D32:D35)</f>
        <v>0</v>
      </c>
      <c r="E36" s="80">
        <f>SUM(E32:E35)</f>
        <v>28924</v>
      </c>
    </row>
    <row r="37" spans="1:10" x14ac:dyDescent="0.25">
      <c r="A37" s="11">
        <v>27</v>
      </c>
      <c r="B37" s="15" t="s">
        <v>19</v>
      </c>
      <c r="C37" s="53">
        <v>11599</v>
      </c>
      <c r="D37" s="57"/>
      <c r="E37" s="33">
        <f>SUM(C37:D37)</f>
        <v>11599</v>
      </c>
    </row>
    <row r="38" spans="1:10" x14ac:dyDescent="0.25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-33124</v>
      </c>
      <c r="D40" s="72">
        <f>-1*(D31-D36)</f>
        <v>30285</v>
      </c>
      <c r="E40" s="33">
        <f t="shared" si="10"/>
        <v>-2839</v>
      </c>
    </row>
    <row r="41" spans="1:10" x14ac:dyDescent="0.25">
      <c r="A41" s="11">
        <v>31</v>
      </c>
      <c r="B41" s="90" t="s">
        <v>22</v>
      </c>
      <c r="C41" s="80">
        <f>C31-C36+C37+C38+C39+C40</f>
        <v>299812</v>
      </c>
      <c r="D41" s="80">
        <f t="shared" ref="D41:E41" si="11">D31-D36+D37+D38+D39+D40</f>
        <v>0</v>
      </c>
      <c r="E41" s="80">
        <f t="shared" si="11"/>
        <v>360269</v>
      </c>
    </row>
    <row r="42" spans="1:10" x14ac:dyDescent="0.25">
      <c r="A42" s="11">
        <v>32</v>
      </c>
      <c r="B42" s="15" t="s">
        <v>24</v>
      </c>
      <c r="C42" s="104"/>
      <c r="D42" s="104"/>
      <c r="E42" s="104"/>
    </row>
    <row r="43" spans="1:10" x14ac:dyDescent="0.25">
      <c r="A43" s="11">
        <v>33</v>
      </c>
      <c r="B43" s="15" t="s">
        <v>25</v>
      </c>
      <c r="C43" s="53">
        <v>3606369</v>
      </c>
      <c r="D43" s="57"/>
      <c r="E43" s="60">
        <f t="shared" ref="E43:E48" si="12">SUM(C43:D43)</f>
        <v>3606369</v>
      </c>
    </row>
    <row r="44" spans="1:10" x14ac:dyDescent="0.25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/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/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25">
      <c r="A49" s="11">
        <v>39</v>
      </c>
      <c r="B49" s="90" t="s">
        <v>257</v>
      </c>
      <c r="C49" s="80">
        <f>(C41+C43+C44)-(C45+C46+C47+C48)</f>
        <v>3906181</v>
      </c>
      <c r="D49" s="103">
        <f t="shared" ref="D49:E49" si="13">(D41+D43+D44)-(D45+D46+D47+D48)</f>
        <v>0</v>
      </c>
      <c r="E49" s="102">
        <f t="shared" si="13"/>
        <v>3966638</v>
      </c>
    </row>
    <row r="50" spans="1:7" x14ac:dyDescent="0.25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25">
      <c r="A53" s="11">
        <v>43</v>
      </c>
      <c r="B53" s="90" t="s">
        <v>34</v>
      </c>
      <c r="C53" s="80">
        <f>C50+C51-C52</f>
        <v>0</v>
      </c>
      <c r="D53" s="103">
        <f t="shared" ref="D53:E53" si="15">D50+D51-D52</f>
        <v>0</v>
      </c>
      <c r="E53" s="102">
        <f t="shared" si="15"/>
        <v>0</v>
      </c>
    </row>
    <row r="54" spans="1:7" x14ac:dyDescent="0.25">
      <c r="A54" s="11">
        <v>44</v>
      </c>
      <c r="B54" s="15" t="s">
        <v>35</v>
      </c>
      <c r="C54" s="56">
        <v>1004455</v>
      </c>
      <c r="D54" s="105"/>
      <c r="E54" s="33">
        <f>C54</f>
        <v>1004455</v>
      </c>
    </row>
    <row r="55" spans="1:7" x14ac:dyDescent="0.25">
      <c r="A55" s="11">
        <v>45</v>
      </c>
      <c r="B55" s="15" t="s">
        <v>36</v>
      </c>
      <c r="C55" s="106">
        <f>((C24+C30-C18-C19)/C15)</f>
        <v>0.70873022142367625</v>
      </c>
      <c r="D55" s="106" t="e">
        <f>((D24+D30-D18-D19)/D15)</f>
        <v>#DIV/0!</v>
      </c>
      <c r="E55" s="106">
        <f>((E24+E30-E18-E19)/E15)</f>
        <v>0.70009091915576027</v>
      </c>
    </row>
    <row r="56" spans="1:7" x14ac:dyDescent="0.25">
      <c r="A56" s="11">
        <v>46</v>
      </c>
      <c r="B56" s="15" t="s">
        <v>37</v>
      </c>
      <c r="C56" s="106">
        <f>((C24+C30+C36)/C15)</f>
        <v>0.90199366402367742</v>
      </c>
      <c r="D56" s="106" t="e">
        <f>((D24+D30+D36)/D15)</f>
        <v>#DIV/0!</v>
      </c>
      <c r="E56" s="106">
        <f>((E24+E30+E36)/E15)</f>
        <v>0.89279134008003691</v>
      </c>
    </row>
    <row r="57" spans="1:7" x14ac:dyDescent="0.25">
      <c r="A57" s="11">
        <v>47</v>
      </c>
      <c r="B57" s="15" t="s">
        <v>38</v>
      </c>
      <c r="C57" s="106">
        <f>((C41+C36)/C36)</f>
        <v>11.365509611395382</v>
      </c>
      <c r="D57" s="106" t="e">
        <f t="shared" ref="D57:E57" si="16">((D41+D36)/D36)</f>
        <v>#DIV/0!</v>
      </c>
      <c r="E57" s="106">
        <f t="shared" si="16"/>
        <v>13.455711519845112</v>
      </c>
    </row>
    <row r="58" spans="1:7" x14ac:dyDescent="0.25">
      <c r="A58" s="11">
        <v>48</v>
      </c>
      <c r="B58" s="15" t="s">
        <v>39</v>
      </c>
      <c r="C58" s="106">
        <f>(C41+C36+C18+C19)/C54</f>
        <v>0.9293318267119981</v>
      </c>
      <c r="D58" s="106" t="e">
        <f t="shared" ref="D58:E58" si="17">(D41+D36+D18+D19)/D54</f>
        <v>#DIV/0!</v>
      </c>
      <c r="E58" s="106">
        <f t="shared" si="17"/>
        <v>0.98768287280166855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250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255</v>
      </c>
      <c r="C62" s="68"/>
      <c r="D62" s="68"/>
      <c r="E62" s="68"/>
      <c r="F62" s="68"/>
      <c r="G62" s="68"/>
    </row>
    <row r="63" spans="1:7" x14ac:dyDescent="0.25">
      <c r="A63" s="48"/>
      <c r="B63" t="s">
        <v>256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94" t="s">
        <v>247</v>
      </c>
      <c r="B67" s="68" t="s">
        <v>251</v>
      </c>
      <c r="C67" s="68"/>
      <c r="D67" s="68"/>
      <c r="E67" s="68"/>
      <c r="F67" s="68"/>
      <c r="G67" s="68"/>
    </row>
    <row r="68" spans="1:7" x14ac:dyDescent="0.25">
      <c r="A68" s="94"/>
      <c r="B68" s="68" t="s">
        <v>252</v>
      </c>
      <c r="C68" s="68"/>
      <c r="D68" s="68"/>
      <c r="E68" s="68"/>
      <c r="F68" s="68"/>
      <c r="G68" s="68"/>
    </row>
    <row r="69" spans="1:7" x14ac:dyDescent="0.25">
      <c r="A69" s="68"/>
      <c r="B69" s="68" t="s">
        <v>248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 t="s">
        <v>268</v>
      </c>
      <c r="C71" s="68"/>
      <c r="D71" s="68"/>
      <c r="E71" s="68"/>
      <c r="F71" s="68"/>
      <c r="G71" s="68"/>
    </row>
    <row r="72" spans="1:7" x14ac:dyDescent="0.25">
      <c r="A72" s="68"/>
      <c r="B72" s="68" t="s">
        <v>269</v>
      </c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/>
  <headerFooter>
    <oddHeader>&amp;L&amp;"-,Bold"State USF Petition Filing Requirement -WAC 480-123-110 (1)(e)
Prior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opLeftCell="A2" workbookViewId="0">
      <selection activeCell="A40" sqref="A40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7" t="s">
        <v>1</v>
      </c>
      <c r="C9" s="56">
        <v>227421</v>
      </c>
      <c r="D9" s="53"/>
      <c r="E9" s="33">
        <f>SUM(C9:D9)</f>
        <v>227421</v>
      </c>
    </row>
    <row r="10" spans="1:6" x14ac:dyDescent="0.25">
      <c r="A10" s="11">
        <v>2</v>
      </c>
      <c r="B10" s="18" t="s">
        <v>2</v>
      </c>
      <c r="C10" s="53">
        <v>3108921</v>
      </c>
      <c r="D10" s="53"/>
      <c r="E10" s="33">
        <f t="shared" ref="E10:E14" si="0">SUM(C10:D10)</f>
        <v>3108921</v>
      </c>
    </row>
    <row r="11" spans="1:6" x14ac:dyDescent="0.25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23332</v>
      </c>
      <c r="D12" s="53"/>
      <c r="E12" s="33">
        <f t="shared" si="0"/>
        <v>23332</v>
      </c>
    </row>
    <row r="13" spans="1:6" x14ac:dyDescent="0.25">
      <c r="A13" s="11">
        <v>5</v>
      </c>
      <c r="B13" s="18" t="s">
        <v>5</v>
      </c>
      <c r="C13" s="53">
        <v>713</v>
      </c>
      <c r="D13" s="53"/>
      <c r="E13" s="33">
        <f t="shared" si="0"/>
        <v>713</v>
      </c>
    </row>
    <row r="14" spans="1:6" x14ac:dyDescent="0.25">
      <c r="A14" s="11">
        <v>6</v>
      </c>
      <c r="B14" s="18" t="s">
        <v>159</v>
      </c>
      <c r="C14" s="53">
        <v>-67</v>
      </c>
      <c r="D14" s="53"/>
      <c r="E14" s="33">
        <f t="shared" si="0"/>
        <v>-67</v>
      </c>
    </row>
    <row r="15" spans="1:6" x14ac:dyDescent="0.25">
      <c r="A15" s="11">
        <v>7</v>
      </c>
      <c r="B15" s="85" t="s">
        <v>158</v>
      </c>
      <c r="C15" s="41">
        <f>SUM(C9:C14)</f>
        <v>3360320</v>
      </c>
      <c r="D15" s="41">
        <f t="shared" ref="D15:E15" si="1">SUM(D9:D14)</f>
        <v>0</v>
      </c>
      <c r="E15" s="41">
        <f t="shared" si="1"/>
        <v>3360320</v>
      </c>
      <c r="F15" s="1"/>
    </row>
    <row r="16" spans="1:6" x14ac:dyDescent="0.25">
      <c r="A16" s="11">
        <v>8</v>
      </c>
      <c r="B16" s="18" t="s">
        <v>6</v>
      </c>
      <c r="C16" s="53">
        <v>452478</v>
      </c>
      <c r="D16" s="53">
        <f>-569+91</f>
        <v>-478</v>
      </c>
      <c r="E16" s="42">
        <f>SUM(C16:D16)</f>
        <v>452000</v>
      </c>
    </row>
    <row r="17" spans="1:6" x14ac:dyDescent="0.25">
      <c r="A17" s="11">
        <v>9</v>
      </c>
      <c r="B17" s="18" t="s">
        <v>40</v>
      </c>
      <c r="C17" s="53">
        <v>471145</v>
      </c>
      <c r="D17" s="53">
        <f>-795-436</f>
        <v>-1231</v>
      </c>
      <c r="E17" s="42">
        <f t="shared" ref="E17:E21" si="2">SUM(C17:D17)</f>
        <v>469914</v>
      </c>
    </row>
    <row r="18" spans="1:6" x14ac:dyDescent="0.25">
      <c r="A18" s="11">
        <v>10</v>
      </c>
      <c r="B18" s="18" t="s">
        <v>7</v>
      </c>
      <c r="C18" s="53">
        <v>346790</v>
      </c>
      <c r="D18" s="53"/>
      <c r="E18" s="42">
        <f t="shared" si="2"/>
        <v>346790</v>
      </c>
    </row>
    <row r="19" spans="1:6" x14ac:dyDescent="0.2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162853</v>
      </c>
      <c r="D20" s="53"/>
      <c r="E20" s="42">
        <f t="shared" si="2"/>
        <v>162853</v>
      </c>
    </row>
    <row r="21" spans="1:6" x14ac:dyDescent="0.25">
      <c r="A21" s="11">
        <v>13</v>
      </c>
      <c r="B21" s="18" t="s">
        <v>10</v>
      </c>
      <c r="C21" s="53">
        <v>903244</v>
      </c>
      <c r="D21" s="53"/>
      <c r="E21" s="42">
        <f t="shared" si="2"/>
        <v>903244</v>
      </c>
    </row>
    <row r="22" spans="1:6" x14ac:dyDescent="0.25">
      <c r="A22" s="11" t="s">
        <v>154</v>
      </c>
      <c r="B22" s="18" t="s">
        <v>160</v>
      </c>
      <c r="C22" s="93"/>
      <c r="D22" s="93"/>
      <c r="E22" s="82">
        <v>-65371</v>
      </c>
      <c r="F22" s="48" t="s">
        <v>247</v>
      </c>
    </row>
    <row r="23" spans="1:6" x14ac:dyDescent="0.25">
      <c r="A23" s="11" t="s">
        <v>155</v>
      </c>
      <c r="B23" s="18" t="s">
        <v>156</v>
      </c>
      <c r="C23" s="33">
        <f>SUM(C21:C22)</f>
        <v>903244</v>
      </c>
      <c r="D23" s="33">
        <f t="shared" ref="D23:E23" si="3">SUM(D21:D22)</f>
        <v>0</v>
      </c>
      <c r="E23" s="42">
        <f t="shared" si="3"/>
        <v>837873</v>
      </c>
    </row>
    <row r="24" spans="1:6" x14ac:dyDescent="0.25">
      <c r="A24" s="11">
        <v>14</v>
      </c>
      <c r="B24" s="85" t="s">
        <v>157</v>
      </c>
      <c r="C24" s="41">
        <f>C16+C17+C18+C19+C20+C23</f>
        <v>2336510</v>
      </c>
      <c r="D24" s="41">
        <f t="shared" ref="D24:E24" si="4">D16+D17+D18+D19+D20+D23</f>
        <v>-1709</v>
      </c>
      <c r="E24" s="43">
        <f t="shared" si="4"/>
        <v>2269430</v>
      </c>
      <c r="F24" s="1"/>
    </row>
    <row r="25" spans="1:6" x14ac:dyDescent="0.25">
      <c r="A25" s="11">
        <v>15</v>
      </c>
      <c r="B25" s="18" t="s">
        <v>14</v>
      </c>
      <c r="C25" s="33">
        <f>C15-C24</f>
        <v>1023810</v>
      </c>
      <c r="D25" s="33">
        <f t="shared" ref="D25:E25" si="5">D15-D24</f>
        <v>1709</v>
      </c>
      <c r="E25" s="33">
        <f t="shared" si="5"/>
        <v>1090890</v>
      </c>
    </row>
    <row r="26" spans="1:6" x14ac:dyDescent="0.25">
      <c r="A26" s="11">
        <v>16</v>
      </c>
      <c r="B26" s="18" t="s">
        <v>161</v>
      </c>
      <c r="C26" s="53"/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>
        <v>128192</v>
      </c>
      <c r="D27" s="53"/>
      <c r="E27" s="33">
        <f t="shared" ref="E27:E29" si="6">SUM(C27:D27)</f>
        <v>128192</v>
      </c>
    </row>
    <row r="28" spans="1:6" x14ac:dyDescent="0.25">
      <c r="A28" s="11">
        <v>18</v>
      </c>
      <c r="B28" s="18" t="s">
        <v>241</v>
      </c>
      <c r="C28" s="53">
        <v>275984</v>
      </c>
      <c r="D28" s="98"/>
      <c r="E28" s="33">
        <f t="shared" si="6"/>
        <v>275984</v>
      </c>
    </row>
    <row r="29" spans="1:6" x14ac:dyDescent="0.25">
      <c r="A29" s="11">
        <v>19</v>
      </c>
      <c r="B29" s="18" t="s">
        <v>13</v>
      </c>
      <c r="C29" s="53">
        <v>0</v>
      </c>
      <c r="D29" s="53"/>
      <c r="E29" s="33">
        <f t="shared" si="6"/>
        <v>0</v>
      </c>
    </row>
    <row r="30" spans="1:6" x14ac:dyDescent="0.25">
      <c r="A30" s="11">
        <v>20</v>
      </c>
      <c r="B30" s="85" t="s">
        <v>12</v>
      </c>
      <c r="C30" s="38">
        <f>SUM(C27:C29)</f>
        <v>404176</v>
      </c>
      <c r="D30" s="38">
        <f t="shared" ref="D30:E30" si="7">SUM(D27:D29)</f>
        <v>0</v>
      </c>
      <c r="E30" s="44">
        <f t="shared" si="7"/>
        <v>404176</v>
      </c>
    </row>
    <row r="31" spans="1:6" x14ac:dyDescent="0.25">
      <c r="A31" s="11">
        <v>21</v>
      </c>
      <c r="B31" s="85" t="s">
        <v>23</v>
      </c>
      <c r="C31" s="38">
        <f>C25+C26-C30</f>
        <v>619634</v>
      </c>
      <c r="D31" s="38">
        <f>D25+D26-D30</f>
        <v>1709</v>
      </c>
      <c r="E31" s="44">
        <f>E25+E26-E30</f>
        <v>686714</v>
      </c>
    </row>
    <row r="32" spans="1:6" x14ac:dyDescent="0.25">
      <c r="A32" s="11">
        <v>22</v>
      </c>
      <c r="B32" s="18" t="s">
        <v>15</v>
      </c>
      <c r="C32" s="53">
        <v>56627</v>
      </c>
      <c r="D32" s="57"/>
      <c r="E32" s="33">
        <f>SUM(C32:D32)</f>
        <v>56627</v>
      </c>
    </row>
    <row r="33" spans="1:5" x14ac:dyDescent="0.25">
      <c r="A33" s="11">
        <v>23</v>
      </c>
      <c r="B33" s="18" t="s">
        <v>16</v>
      </c>
      <c r="C33" s="53"/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22668</v>
      </c>
      <c r="D34" s="57"/>
      <c r="E34" s="33">
        <f t="shared" si="8"/>
        <v>22668</v>
      </c>
    </row>
    <row r="35" spans="1:5" x14ac:dyDescent="0.25">
      <c r="A35" s="11">
        <v>25</v>
      </c>
      <c r="B35" s="18" t="s">
        <v>175</v>
      </c>
      <c r="C35" s="53"/>
      <c r="D35" s="57"/>
      <c r="E35" s="34">
        <f t="shared" si="8"/>
        <v>0</v>
      </c>
    </row>
    <row r="36" spans="1:5" x14ac:dyDescent="0.25">
      <c r="A36" s="11">
        <v>26</v>
      </c>
      <c r="B36" s="85" t="s">
        <v>18</v>
      </c>
      <c r="C36" s="38">
        <f>SUM(C32:C35)</f>
        <v>79295</v>
      </c>
      <c r="D36" s="66">
        <f t="shared" ref="D36" si="9">SUM(D32:D35)</f>
        <v>0</v>
      </c>
      <c r="E36" s="38">
        <f>SUM(E32:E35)</f>
        <v>79295</v>
      </c>
    </row>
    <row r="37" spans="1:5" x14ac:dyDescent="0.25">
      <c r="A37" s="11">
        <v>27</v>
      </c>
      <c r="B37" s="18" t="s">
        <v>19</v>
      </c>
      <c r="C37" s="53">
        <v>11538</v>
      </c>
      <c r="D37" s="57"/>
      <c r="E37" s="33">
        <f>SUM(C37:D37)</f>
        <v>11538</v>
      </c>
    </row>
    <row r="38" spans="1:5" x14ac:dyDescent="0.25">
      <c r="A38" s="11">
        <v>28</v>
      </c>
      <c r="B38" s="18" t="s">
        <v>20</v>
      </c>
      <c r="C38" s="53"/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/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-33438</v>
      </c>
      <c r="D40" s="72">
        <f>-1*(D31-D36)</f>
        <v>-1709</v>
      </c>
      <c r="E40" s="33">
        <f t="shared" si="10"/>
        <v>-35147</v>
      </c>
    </row>
    <row r="41" spans="1:5" x14ac:dyDescent="0.25">
      <c r="A41" s="11">
        <v>31</v>
      </c>
      <c r="B41" s="85" t="s">
        <v>22</v>
      </c>
      <c r="C41" s="38">
        <f>C31-C36+C37+C38+C39+C40</f>
        <v>518439</v>
      </c>
      <c r="D41" s="38">
        <f t="shared" ref="D41:E41" si="11">D31-D36+D37+D38+D39+D40</f>
        <v>0</v>
      </c>
      <c r="E41" s="38">
        <f t="shared" si="11"/>
        <v>583810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3906181</v>
      </c>
      <c r="D43" s="57"/>
      <c r="E43" s="33">
        <f t="shared" ref="E43:E48" si="12">SUM(C43:D43)</f>
        <v>3906181</v>
      </c>
    </row>
    <row r="44" spans="1:5" x14ac:dyDescent="0.25">
      <c r="A44" s="11">
        <v>34</v>
      </c>
      <c r="B44" s="18" t="s">
        <v>26</v>
      </c>
      <c r="C44" s="53"/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>
        <v>295000</v>
      </c>
      <c r="D45" s="57"/>
      <c r="E45" s="33">
        <f t="shared" si="12"/>
        <v>295000</v>
      </c>
    </row>
    <row r="46" spans="1:5" x14ac:dyDescent="0.25">
      <c r="A46" s="11">
        <v>36</v>
      </c>
      <c r="B46" s="18" t="s">
        <v>28</v>
      </c>
      <c r="C46" s="53"/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/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/>
      <c r="D48" s="57"/>
      <c r="E48" s="33">
        <f t="shared" si="12"/>
        <v>0</v>
      </c>
    </row>
    <row r="49" spans="1:7" x14ac:dyDescent="0.25">
      <c r="A49" s="11">
        <v>39</v>
      </c>
      <c r="B49" s="85" t="s">
        <v>257</v>
      </c>
      <c r="C49" s="38">
        <f>(C41+C43+C44)-(C45+C46+C47+C48)</f>
        <v>4129620</v>
      </c>
      <c r="D49" s="66">
        <f t="shared" ref="D49:E49" si="13">(D41+D43+D44)-(D45+D46+D47+D48)</f>
        <v>0</v>
      </c>
      <c r="E49" s="44">
        <f t="shared" si="13"/>
        <v>4194991</v>
      </c>
    </row>
    <row r="50" spans="1:7" x14ac:dyDescent="0.25">
      <c r="A50" s="11">
        <v>40</v>
      </c>
      <c r="B50" s="18" t="s">
        <v>32</v>
      </c>
      <c r="C50" s="53"/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/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/>
      <c r="D52" s="57"/>
      <c r="E52" s="33">
        <f t="shared" si="14"/>
        <v>0</v>
      </c>
    </row>
    <row r="53" spans="1:7" x14ac:dyDescent="0.25">
      <c r="A53" s="11">
        <v>43</v>
      </c>
      <c r="B53" s="85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157474</v>
      </c>
      <c r="D54" s="97"/>
      <c r="E54" s="33">
        <f>C54</f>
        <v>157474</v>
      </c>
    </row>
    <row r="55" spans="1:7" x14ac:dyDescent="0.25">
      <c r="A55" s="11">
        <v>45</v>
      </c>
      <c r="B55" s="18" t="s">
        <v>36</v>
      </c>
      <c r="C55" s="47">
        <f>((C24+C30-C18-C19)/C15)</f>
        <v>0.71240119988572514</v>
      </c>
      <c r="D55" s="47" t="e">
        <f>((D24+D30-D18-D19)/D15)</f>
        <v>#DIV/0!</v>
      </c>
      <c r="E55" s="47">
        <f>((E24+E30-E18-E19)/E15)</f>
        <v>0.692438815350919</v>
      </c>
    </row>
    <row r="56" spans="1:7" x14ac:dyDescent="0.25">
      <c r="A56" s="11">
        <v>46</v>
      </c>
      <c r="B56" s="18" t="s">
        <v>37</v>
      </c>
      <c r="C56" s="47">
        <f>((C24+C30+C36)/C15)</f>
        <v>0.83920013570136176</v>
      </c>
      <c r="D56" s="47" t="e">
        <f>((D24+D30+D36)/D15)</f>
        <v>#DIV/0!</v>
      </c>
      <c r="E56" s="47">
        <f>((E24+E30+E36)/E15)</f>
        <v>0.81923775116655562</v>
      </c>
    </row>
    <row r="57" spans="1:7" x14ac:dyDescent="0.25">
      <c r="A57" s="11">
        <v>47</v>
      </c>
      <c r="B57" s="18" t="s">
        <v>38</v>
      </c>
      <c r="C57" s="47">
        <f>((C41+C36)/C36)</f>
        <v>7.5381045463143952</v>
      </c>
      <c r="D57" s="47" t="e">
        <f t="shared" ref="D57:E57" si="16">((D41+D36)/D36)</f>
        <v>#DIV/0!</v>
      </c>
      <c r="E57" s="47">
        <f t="shared" si="16"/>
        <v>8.362507093763794</v>
      </c>
    </row>
    <row r="58" spans="1:7" x14ac:dyDescent="0.25">
      <c r="A58" s="11">
        <v>48</v>
      </c>
      <c r="B58" s="18" t="s">
        <v>39</v>
      </c>
      <c r="C58" s="47">
        <f>(C41+C36+C18+C19)/C54</f>
        <v>5.9979679185135319</v>
      </c>
      <c r="D58" s="47" t="e">
        <f t="shared" ref="D58:E58" si="17">(D41+D36+D18+D19)/D54</f>
        <v>#DIV/0!</v>
      </c>
      <c r="E58" s="47">
        <f t="shared" si="17"/>
        <v>6.4130904149256382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250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255</v>
      </c>
      <c r="C62" s="68"/>
      <c r="D62" s="68"/>
      <c r="E62" s="68"/>
      <c r="F62" s="68"/>
      <c r="G62" s="68"/>
    </row>
    <row r="63" spans="1:7" x14ac:dyDescent="0.25">
      <c r="A63" s="48"/>
      <c r="B63" t="s">
        <v>256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231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94" t="s">
        <v>247</v>
      </c>
      <c r="B67" s="68" t="s">
        <v>253</v>
      </c>
      <c r="C67" s="68"/>
      <c r="D67" s="68"/>
      <c r="E67" s="68"/>
      <c r="F67" s="68"/>
      <c r="G67" s="68"/>
    </row>
    <row r="68" spans="1:7" x14ac:dyDescent="0.25">
      <c r="A68" s="94"/>
      <c r="B68" s="68" t="s">
        <v>254</v>
      </c>
      <c r="C68" s="68"/>
      <c r="D68" s="68"/>
      <c r="E68" s="68"/>
      <c r="F68" s="68"/>
      <c r="G68" s="68"/>
    </row>
    <row r="69" spans="1:7" x14ac:dyDescent="0.25">
      <c r="A69" s="68"/>
      <c r="B69" s="68" t="s">
        <v>248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/>
  <headerFooter>
    <oddHeader>&amp;L&amp;"-,Bold"State USF Petition Filing Requirement -WAC 480-123-110 (1)(e)
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topLeftCell="A14" workbookViewId="0">
      <selection activeCell="B4" sqref="B4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267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219575</v>
      </c>
      <c r="D9" s="42">
        <f>'CurrentYearIncomeStmt '!E9</f>
        <v>227421</v>
      </c>
    </row>
    <row r="10" spans="1:5" x14ac:dyDescent="0.25">
      <c r="A10" s="11">
        <v>2</v>
      </c>
      <c r="B10" s="18" t="s">
        <v>2</v>
      </c>
      <c r="C10" s="33">
        <f>PriorYearIncomeStmt!E10</f>
        <v>3037205</v>
      </c>
      <c r="D10" s="42">
        <f>'CurrentYearIncomeStmt '!E10</f>
        <v>3108921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22142</v>
      </c>
      <c r="D12" s="42">
        <f>'CurrentYearIncomeStmt '!E12</f>
        <v>23332</v>
      </c>
    </row>
    <row r="13" spans="1:5" x14ac:dyDescent="0.25">
      <c r="A13" s="11">
        <v>5</v>
      </c>
      <c r="B13" s="18" t="s">
        <v>5</v>
      </c>
      <c r="C13" s="33">
        <f>PriorYearIncomeStmt!E13</f>
        <v>0</v>
      </c>
      <c r="D13" s="42">
        <f>'CurrentYearIncomeStmt '!E13</f>
        <v>713</v>
      </c>
    </row>
    <row r="14" spans="1:5" x14ac:dyDescent="0.25">
      <c r="A14" s="11">
        <v>6</v>
      </c>
      <c r="B14" s="18" t="s">
        <v>159</v>
      </c>
      <c r="C14" s="33">
        <f>PriorYearIncomeStmt!E14</f>
        <v>-185</v>
      </c>
      <c r="D14" s="42">
        <f>'CurrentYearIncomeStmt '!E14</f>
        <v>-67</v>
      </c>
    </row>
    <row r="15" spans="1:5" x14ac:dyDescent="0.25">
      <c r="A15" s="11">
        <v>7</v>
      </c>
      <c r="B15" s="85" t="s">
        <v>158</v>
      </c>
      <c r="C15" s="41">
        <f>SUM(C9:C14)</f>
        <v>3278737</v>
      </c>
      <c r="D15" s="43">
        <f t="shared" ref="D15" si="0">SUM(D9:D14)</f>
        <v>3360320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464856</v>
      </c>
      <c r="D16" s="42">
        <f>'CurrentYearIncomeStmt '!E16</f>
        <v>452000</v>
      </c>
    </row>
    <row r="17" spans="1:5" x14ac:dyDescent="0.25">
      <c r="A17" s="11">
        <v>9</v>
      </c>
      <c r="B17" s="18" t="s">
        <v>40</v>
      </c>
      <c r="C17" s="33">
        <f>PriorYearIncomeStmt!E17</f>
        <v>582320</v>
      </c>
      <c r="D17" s="42">
        <f>'CurrentYearIncomeStmt '!E17</f>
        <v>469914</v>
      </c>
    </row>
    <row r="18" spans="1:5" x14ac:dyDescent="0.25">
      <c r="A18" s="11">
        <v>10</v>
      </c>
      <c r="B18" s="18" t="s">
        <v>7</v>
      </c>
      <c r="C18" s="33">
        <f>PriorYearIncomeStmt!E18</f>
        <v>602890</v>
      </c>
      <c r="D18" s="42">
        <f>'CurrentYearIncomeStmt '!E18</f>
        <v>346790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144091</v>
      </c>
      <c r="D20" s="42">
        <f>'CurrentYearIncomeStmt '!E20</f>
        <v>162853</v>
      </c>
    </row>
    <row r="21" spans="1:5" x14ac:dyDescent="0.25">
      <c r="A21" s="11">
        <v>13</v>
      </c>
      <c r="B21" s="18" t="s">
        <v>10</v>
      </c>
      <c r="C21" s="33">
        <f>PriorYearIncomeStmt!E21</f>
        <v>910916</v>
      </c>
      <c r="D21" s="42">
        <f>'CurrentYearIncomeStmt '!E21</f>
        <v>903244</v>
      </c>
    </row>
    <row r="22" spans="1:5" x14ac:dyDescent="0.25">
      <c r="A22" s="11" t="s">
        <v>154</v>
      </c>
      <c r="B22" s="18" t="s">
        <v>160</v>
      </c>
      <c r="C22" s="34">
        <f>PriorYearIncomeStmt!E22</f>
        <v>-60457</v>
      </c>
      <c r="D22" s="34">
        <f>'CurrentYearIncomeStmt '!E22</f>
        <v>-65371</v>
      </c>
    </row>
    <row r="23" spans="1:5" x14ac:dyDescent="0.25">
      <c r="A23" s="11" t="s">
        <v>155</v>
      </c>
      <c r="B23" s="18" t="s">
        <v>156</v>
      </c>
      <c r="C23" s="33">
        <f>SUM(C21:C22)</f>
        <v>850459</v>
      </c>
      <c r="D23" s="42">
        <f t="shared" ref="D23" si="1">SUM(D21:D22)</f>
        <v>837873</v>
      </c>
    </row>
    <row r="24" spans="1:5" x14ac:dyDescent="0.25">
      <c r="A24" s="11">
        <v>14</v>
      </c>
      <c r="B24" s="85" t="s">
        <v>157</v>
      </c>
      <c r="C24" s="41">
        <f>C16+C17+C18+C19+C20+C23</f>
        <v>2644616</v>
      </c>
      <c r="D24" s="43">
        <f t="shared" ref="D24" si="2">D16+D17+D18+D19+D20+D23</f>
        <v>2269430</v>
      </c>
      <c r="E24" s="1"/>
    </row>
    <row r="25" spans="1:5" x14ac:dyDescent="0.25">
      <c r="A25" s="11">
        <v>15</v>
      </c>
      <c r="B25" s="18" t="s">
        <v>14</v>
      </c>
      <c r="C25" s="33">
        <f>C15-C24</f>
        <v>634121</v>
      </c>
      <c r="D25" s="42">
        <f t="shared" ref="D25" si="3">D15-D24</f>
        <v>1090890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57000</v>
      </c>
      <c r="D27" s="42">
        <f>'CurrentYearIncomeStmt '!E27</f>
        <v>128192</v>
      </c>
    </row>
    <row r="28" spans="1:5" x14ac:dyDescent="0.25">
      <c r="A28" s="11">
        <v>18</v>
      </c>
      <c r="B28" s="18" t="s">
        <v>224</v>
      </c>
      <c r="C28" s="33">
        <f>PriorYearIncomeStmt!E28</f>
        <v>196688</v>
      </c>
      <c r="D28" s="42">
        <f>'CurrentYearIncomeStmt '!E28</f>
        <v>275984</v>
      </c>
    </row>
    <row r="29" spans="1:5" x14ac:dyDescent="0.25">
      <c r="A29" s="11">
        <v>19</v>
      </c>
      <c r="B29" s="18" t="s">
        <v>13</v>
      </c>
      <c r="C29" s="33">
        <f>PriorYearIncomeStmt!E29</f>
        <v>0</v>
      </c>
      <c r="D29" s="42">
        <f>'CurrentYearIncomeStmt '!E29</f>
        <v>0</v>
      </c>
    </row>
    <row r="30" spans="1:5" x14ac:dyDescent="0.25">
      <c r="A30" s="11">
        <v>20</v>
      </c>
      <c r="B30" s="85" t="s">
        <v>12</v>
      </c>
      <c r="C30" s="38">
        <f>SUM(C27:C29)</f>
        <v>253688</v>
      </c>
      <c r="D30" s="44">
        <f t="shared" ref="D30" si="4">SUM(D27:D29)</f>
        <v>404176</v>
      </c>
    </row>
    <row r="31" spans="1:5" x14ac:dyDescent="0.25">
      <c r="A31" s="11">
        <v>21</v>
      </c>
      <c r="B31" s="85" t="s">
        <v>23</v>
      </c>
      <c r="C31" s="38">
        <f>C25+C26-C30</f>
        <v>380433</v>
      </c>
      <c r="D31" s="44">
        <f>D25+D26-D30</f>
        <v>686714</v>
      </c>
    </row>
    <row r="32" spans="1:5" x14ac:dyDescent="0.25">
      <c r="A32" s="11">
        <v>22</v>
      </c>
      <c r="B32" s="18" t="s">
        <v>15</v>
      </c>
      <c r="C32" s="33">
        <f>PriorYearIncomeStmt!E32</f>
        <v>37304</v>
      </c>
      <c r="D32" s="42">
        <f>'CurrentYearIncomeStmt '!E32</f>
        <v>56627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1089</v>
      </c>
      <c r="D34" s="42">
        <f>'CurrentYearIncomeStmt '!E34</f>
        <v>22668</v>
      </c>
    </row>
    <row r="35" spans="1:4" x14ac:dyDescent="0.25">
      <c r="A35" s="11">
        <v>25</v>
      </c>
      <c r="B35" s="18" t="s">
        <v>79</v>
      </c>
      <c r="C35" s="33">
        <f>PriorYearIncomeStmt!E35</f>
        <v>-9469</v>
      </c>
      <c r="D35" s="42">
        <f>'CurrentYearIncomeStmt '!E35</f>
        <v>0</v>
      </c>
    </row>
    <row r="36" spans="1:4" x14ac:dyDescent="0.25">
      <c r="A36" s="11">
        <v>26</v>
      </c>
      <c r="B36" s="85" t="s">
        <v>18</v>
      </c>
      <c r="C36" s="38">
        <f>SUM(C32:C35)</f>
        <v>28924</v>
      </c>
      <c r="D36" s="44">
        <f t="shared" ref="D36" si="5">SUM(D32:D35)</f>
        <v>79295</v>
      </c>
    </row>
    <row r="37" spans="1:4" x14ac:dyDescent="0.25">
      <c r="A37" s="11">
        <v>27</v>
      </c>
      <c r="B37" s="18" t="s">
        <v>19</v>
      </c>
      <c r="C37" s="33">
        <f>PriorYearIncomeStmt!E37</f>
        <v>11599</v>
      </c>
      <c r="D37" s="42">
        <f>'CurrentYearIncomeStmt '!E37</f>
        <v>11538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-2839</v>
      </c>
      <c r="D40" s="42">
        <f>'CurrentYearIncomeStmt '!E40</f>
        <v>-35147</v>
      </c>
    </row>
    <row r="41" spans="1:4" x14ac:dyDescent="0.25">
      <c r="A41" s="11">
        <v>31</v>
      </c>
      <c r="B41" s="85" t="s">
        <v>22</v>
      </c>
      <c r="C41" s="38">
        <f>C31-C36+C37+C38+C39+C40</f>
        <v>360269</v>
      </c>
      <c r="D41" s="44">
        <f t="shared" ref="D41" si="6">D31-D36+D37+D38+D39+D40</f>
        <v>583810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3606369</v>
      </c>
      <c r="D43" s="42">
        <f>'CurrentYearIncomeStmt '!E43</f>
        <v>3906181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295000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85" t="s">
        <v>31</v>
      </c>
      <c r="C49" s="38">
        <f>(C41+C43+C44)-(C45+C46+C47+C48)</f>
        <v>3966638</v>
      </c>
      <c r="D49" s="44">
        <f t="shared" ref="D49" si="7">(D41+D43+D44)-(D45+D46+D47+D48)</f>
        <v>4194991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85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1004455</v>
      </c>
      <c r="D54" s="42">
        <f>'CurrentYearIncomeStmt '!E54</f>
        <v>157474</v>
      </c>
    </row>
    <row r="55" spans="1:8" x14ac:dyDescent="0.25">
      <c r="A55" s="11">
        <v>45</v>
      </c>
      <c r="B55" s="18" t="s">
        <v>36</v>
      </c>
      <c r="C55" s="50">
        <f>((C24+C30-C18-C19)/C15)</f>
        <v>0.70009091915576027</v>
      </c>
      <c r="D55" s="50">
        <f>((D24+D30-D18-D19)/D15)</f>
        <v>0.692438815350919</v>
      </c>
    </row>
    <row r="56" spans="1:8" x14ac:dyDescent="0.25">
      <c r="A56" s="11">
        <v>46</v>
      </c>
      <c r="B56" s="18" t="s">
        <v>37</v>
      </c>
      <c r="C56" s="50">
        <f>((C24+C30+C36)/C15)</f>
        <v>0.89279134008003691</v>
      </c>
      <c r="D56" s="50">
        <f>((D24+D30+D36)/D15)</f>
        <v>0.81923775116655562</v>
      </c>
    </row>
    <row r="57" spans="1:8" x14ac:dyDescent="0.25">
      <c r="A57" s="11">
        <v>47</v>
      </c>
      <c r="B57" s="18" t="s">
        <v>38</v>
      </c>
      <c r="C57" s="50">
        <f>((C41+C36)/C36)</f>
        <v>13.455711519845112</v>
      </c>
      <c r="D57" s="50">
        <f t="shared" ref="D57" si="9">((D41+D36)/D36)</f>
        <v>8.362507093763794</v>
      </c>
    </row>
    <row r="58" spans="1:8" x14ac:dyDescent="0.25">
      <c r="A58" s="11">
        <v>48</v>
      </c>
      <c r="B58" s="18" t="s">
        <v>39</v>
      </c>
      <c r="C58" s="46">
        <f>(C41+C36+C18+C19)/C54</f>
        <v>0.98768287280166855</v>
      </c>
      <c r="D58" s="50">
        <f t="shared" ref="D58" si="10">(D41+D36+D18+D19)/D54</f>
        <v>6.4130904149256382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260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/>
  <headerFooter>
    <oddHeader>&amp;L&amp;"-,Bold"State USF Petition Filing Requirement -WAC 480-123-110 (1)(e)
Prior and 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BF48F25CA72C4099A81ABC4D0C18B9" ma:contentTypeVersion="119" ma:contentTypeDescription="" ma:contentTypeScope="" ma:versionID="25abb5c09857c302fb442c4e49b8f7a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2015-07-23T07:00:00+00:00</OpenedDate>
    <Date1 xmlns="dc463f71-b30c-4ab2-9473-d307f9d35888">2015-09-16T07:00:00+00:00</Date1>
    <IsDocumentOrder xmlns="dc463f71-b30c-4ab2-9473-d307f9d35888" xsi:nil="true"/>
    <IsHighlyConfidential xmlns="dc463f71-b30c-4ab2-9473-d307f9d35888">false</IsHighlyConfidential>
    <CaseCompanyNames xmlns="dc463f71-b30c-4ab2-9473-d307f9d35888">Western Wahkiakum County Telephone Company</CaseCompanyNames>
    <DocketNumber xmlns="dc463f71-b30c-4ab2-9473-d307f9d35888">151521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E99D0E3-FBFB-4C45-BD7A-817B0BCE9F9C}"/>
</file>

<file path=customXml/itemProps2.xml><?xml version="1.0" encoding="utf-8"?>
<ds:datastoreItem xmlns:ds="http://schemas.openxmlformats.org/officeDocument/2006/customXml" ds:itemID="{E621DCD6-B3ED-4BB6-A045-A7AC43F79802}"/>
</file>

<file path=customXml/itemProps3.xml><?xml version="1.0" encoding="utf-8"?>
<ds:datastoreItem xmlns:ds="http://schemas.openxmlformats.org/officeDocument/2006/customXml" ds:itemID="{02EE512E-B323-4747-8188-E184E1CB7A58}"/>
</file>

<file path=customXml/itemProps4.xml><?xml version="1.0" encoding="utf-8"?>
<ds:datastoreItem xmlns:ds="http://schemas.openxmlformats.org/officeDocument/2006/customXml" ds:itemID="{AAC6163B-A20A-49A8-9B1A-0750FAF5F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2015-08-06T19:55:46Z</cp:lastPrinted>
  <dcterms:created xsi:type="dcterms:W3CDTF">2014-05-21T17:51:51Z</dcterms:created>
  <dcterms:modified xsi:type="dcterms:W3CDTF">2015-09-16T16:15:24Z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0x0101006E56B4D1795A2E4DB2F0B01679ED314A004DBF48F25CA72C4099A81ABC4D0C18B9</vt:lpwstr>
  </property>
  <property fmtid="{D5CDD505-2E9C-101B-9397-08002B2CF9AE}" pid="3" name="_docset_NoMedatataSyncRequired">
    <vt:lpwstr>False</vt:lpwstr>
  </property>
</Properties>
</file>